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<sst xmlns="http://schemas.openxmlformats.org/spreadsheetml/2006/main" count="1460" uniqueCount="587">
  <si>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</si>
  <si>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</si>
  <si>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</si>
  <si>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</si>
  <si>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</si>
  <si>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</si>
  <si>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</si>
  <si>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</si>
  <si>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</si>
  <si>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</si>
  <si>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</si>
  <si>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</si>
  <si>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</si>
  <si>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</si>
  <si>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</si>
  <si>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</si>
  <si>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</si>
  <si>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</si>
  <si>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</si>
  <si>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</si>
  <si>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</si>
  <si>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</si>
  <si>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</si>
  <si>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</si>
  <si>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</si>
  <si>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</si>
  <si>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</si>
  <si>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</si>
  <si>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</si>
  <si>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</si>
  <si>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</si>
  <si>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</si>
  <si>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</si>
  <si>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</si>
  <si>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</si>
  <si>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</si>
  <si>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</si>
  <si>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</si>
  <si>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</si>
  <si>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</si>
  <si>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</si>
  <si>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</si>
  <si>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</si>
  <si>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</si>
  <si>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</si>
  <si>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</si>
  <si>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</si>
  <si>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</si>
  <si>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</si>
  <si>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</si>
  <si>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</si>
  <si>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</si>
  <si>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</si>
  <si>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</si>
  <si>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</si>
  <si>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</si>
  <si>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</si>
  <si>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</si>
  <si>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</si>
  <si>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</si>
  <si>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</si>
  <si>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</si>
  <si>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</si>
  <si>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</si>
  <si>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</si>
  <si>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</si>
  <si>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</si>
  <si>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</si>
  <si>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</si>
  <si>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</si>
  <si>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</si>
  <si>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</si>
  <si>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</si>
  <si>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</si>
  <si>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</si>
  <si>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</si>
  <si>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</si>
  <si>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</si>
  <si>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</si>
  <si>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</si>
  <si>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</si>
  <si>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</si>
  <si>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</si>
  <si>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</si>
  <si>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</si>
  <si>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</si>
  <si>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</si>
  <si>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</si>
  <si>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</si>
  <si>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</si>
  <si>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</si>
  <si>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</si>
  <si>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</si>
  <si>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</si>
  <si>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</si>
  <si>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</si>
  <si>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</si>
  <si>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</si>
  <si>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</si>
  <si>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</si>
  <si>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</si>
  <si>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</si>
  <si>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</si>
  <si>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</si>
  <si>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</si>
  <si>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</si>
  <si>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</si>
  <si>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</si>
  <si>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</si>
  <si>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</si>
  <si>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</si>
  <si>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</si>
  <si>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</si>
  <si>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</si>
  <si>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</si>
  <si>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</si>
  <si>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</si>
  <si>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</si>
  <si>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</si>
  <si>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</si>
  <si>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</si>
  <si>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</si>
  <si>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</si>
  <si>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</si>
  <si>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</si>
  <si>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</si>
  <si>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</si>
  <si>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</si>
  <si>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</si>
  <si>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</si>
  <si>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</si>
  <si>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</si>
  <si>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</si>
  <si>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</si>
  <si>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</si>
  <si>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</si>
  <si>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</si>
  <si>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</si>
  <si>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</si>
  <si>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</si>
  <si>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</si>
  <si>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</si>
  <si>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</si>
  <si>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</si>
  <si>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</si>
  <si>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</si>
  <si>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</si>
  <si>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</si>
  <si>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</si>
  <si>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</si>
  <si>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</si>
  <si>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</si>
  <si>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</si>
  <si>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</si>
  <si>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</si>
  <si>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</si>
  <si>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</si>
  <si>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</si>
  <si>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</si>
  <si>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</si>
  <si>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</si>
  <si>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</si>
  <si>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</si>
  <si>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</si>
  <si>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</si>
  <si>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</si>
  <si>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</si>
  <si>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</si>
  <si>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</si>
  <si>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</si>
  <si>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</si>
  <si>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</si>
  <si>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</si>
  <si>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</si>
  <si>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</si>
  <si>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</si>
  <si>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</si>
  <si>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</si>
  <si>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</si>
  <si>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</si>
  <si>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</si>
  <si>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</si>
  <si>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</si>
  <si>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</si>
  <si>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</si>
  <si>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</si>
  <si>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</si>
  <si>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</si>
  <si>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</si>
  <si>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</si>
  <si>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</si>
  <si>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</si>
  <si>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</si>
  <si>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</si>
  <si>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</si>
  <si>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</si>
  <si>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</si>
  <si>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</si>
  <si>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</si>
  <si>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</si>
  <si>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</si>
  <si>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</si>
  <si>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</si>
  <si>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</si>
  <si>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</si>
  <si>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</si>
  <si>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</si>
  <si>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</si>
  <si>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</si>
  <si>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</si>
  <si>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</si>
  <si>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</si>
  <si>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</si>
  <si>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</si>
  <si>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</si>
  <si>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</si>
  <si>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</si>
  <si>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</si>
  <si>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</si>
  <si>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</si>
  <si>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</si>
  <si>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</si>
  <si>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</si>
  <si>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</si>
  <si>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</si>
  <si>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</si>
  <si>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</si>
  <si>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</si>
  <si>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</si>
  <si>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</si>
  <si>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</si>
  <si>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</si>
  <si>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</si>
  <si>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</si>
  <si>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</si>
  <si>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</si>
  <si>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</si>
  <si>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</si>
  <si>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</si>
  <si>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</si>
  <si>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</si>
  <si>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</si>
  <si>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</si>
  <si>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</si>
  <si>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</si>
  <si>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</si>
  <si>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</si>
  <si>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</si>
  <si>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</si>
  <si>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</si>
  <si>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</si>
  <si>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</si>
  <si>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</si>
  <si>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</si>
  <si>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</si>
  <si>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</si>
  <si>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</si>
  <si>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</si>
  <si>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</si>
  <si>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</si>
  <si>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</si>
  <si>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</si>
  <si>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</si>
  <si>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</si>
  <si>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</si>
  <si>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</si>
  <si>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</si>
  <si>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</si>
  <si>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</si>
  <si>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</si>
  <si>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</si>
  <si>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</si>
  <si>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</si>
  <si>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</si>
  <si>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</si>
  <si>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</si>
  <si>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</si>
  <si>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</si>
  <si>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</si>
  <si>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</si>
  <si>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</si>
  <si>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</si>
  <si>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</si>
  <si>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</si>
  <si>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</si>
  <si>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</si>
  <si>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</si>
  <si>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</si>
  <si>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</si>
  <si>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</si>
  <si>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</si>
  <si>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</si>
  <si>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</si>
  <si>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</si>
  <si>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</si>
  <si>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</si>
  <si>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</si>
  <si>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</si>
  <si>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</si>
  <si>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</si>
  <si>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</si>
  <si>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</si>
  <si>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</si>
  <si>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</si>
  <si>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</si>
  <si>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</si>
  <si>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</si>
  <si>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</si>
  <si>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</si>
  <si>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</si>
  <si>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</si>
  <si>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</si>
  <si>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</si>
  <si>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</si>
  <si>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</si>
  <si>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</si>
  <si>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</si>
  <si>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</si>
  <si>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</si>
  <si>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</si>
  <si>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</si>
  <si>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</si>
  <si>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</si>
  <si>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</si>
  <si>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</si>
  <si>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</si>
  <si>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</si>
  <si>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</si>
  <si>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</si>
  <si>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</si>
  <si>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</si>
  <si>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</si>
  <si>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</si>
  <si>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</si>
  <si>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</si>
  <si>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</si>
  <si>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</si>
  <si>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</si>
  <si>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</si>
  <si>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</si>
  <si>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</si>
  <si>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</si>
  <si>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</si>
  <si>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</si>
  <si>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</si>
  <si>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</si>
  <si>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</si>
  <si>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</si>
  <si>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</si>
  <si>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</si>
  <si>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</si>
  <si>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</si>
  <si>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</si>
  <si>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</si>
  <si>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</si>
  <si>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</si>
  <si>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</si>
  <si>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</si>
  <si>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</si>
  <si>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</si>
  <si>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</si>
  <si>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</si>
  <si>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</si>
  <si>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</si>
  <si>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</si>
  <si>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</si>
  <si>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</si>
  <si>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</si>
  <si>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</si>
  <si>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</si>
  <si>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</si>
  <si>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</si>
  <si>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</si>
  <si>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</si>
  <si>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</si>
  <si>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</si>
  <si>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</si>
  <si>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</si>
  <si>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</si>
  <si>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</si>
  <si>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</si>
  <si>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</si>
  <si>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</si>
  <si>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</si>
  <si>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</si>
  <si>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</si>
  <si>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</si>
  <si>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</si>
  <si>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</si>
  <si>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</si>
  <si>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</si>
  <si>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</si>
  <si>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</si>
  <si>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</si>
  <si>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</si>
  <si>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</si>
  <si>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</si>
  <si>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</si>
  <si>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</si>
  <si>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</si>
  <si>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</si>
  <si>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</si>
  <si>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</si>
  <si>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</si>
  <si>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</si>
  <si>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</si>
  <si>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</si>
  <si>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</si>
  <si>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</si>
  <si>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</si>
  <si>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</si>
  <si>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</si>
  <si>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</si>
  <si>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</si>
  <si>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</si>
  <si>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</si>
  <si>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</si>
  <si>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</si>
  <si>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</si>
  <si>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</si>
  <si>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</si>
  <si>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</si>
  <si>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</si>
  <si>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</si>
  <si>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</si>
  <si>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</si>
  <si>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</si>
  <si>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</si>
  <si>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</si>
  <si>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</si>
  <si>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</si>
  <si>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</si>
  <si>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</si>
  <si>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</si>
  <si>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</si>
  <si>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</si>
  <si>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</si>
  <si>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</si>
  <si>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</si>
  <si>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</si>
  <si>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</si>
  <si>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</si>
  <si>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</si>
  <si>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</si>
  <si>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</si>
  <si>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</si>
  <si>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</si>
  <si>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</si>
  <si>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</si>
  <si>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</si>
  <si>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</si>
  <si>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</si>
  <si>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</si>
  <si>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</si>
  <si>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</si>
  <si>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</si>
  <si>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</si>
  <si>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</si>
  <si>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</si>
  <si>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</si>
  <si>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</si>
  <si>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</si>
  <si>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</si>
  <si>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</si>
  <si>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</si>
  <si>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</si>
  <si>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</si>
  <si>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</si>
  <si>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</si>
  <si>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</si>
  <si>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</si>
  <si>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</si>
  <si>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</si>
  <si>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</si>
  <si>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</si>
  <si>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</si>
  <si>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</si>
  <si>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</si>
  <si>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</si>
  <si>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</si>
  <si>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</si>
  <si>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</si>
  <si>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</si>
  <si>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</si>
  <si>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</si>
  <si>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</si>
  <si>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</si>
  <si>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</si>
  <si>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</si>
  <si>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</si>
  <si>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</si>
  <si>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</si>
  <si>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</si>
  <si>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</si>
  <si>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</si>
  <si>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</si>
  <si>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</si>
  <si>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</si>
  <si>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</si>
  <si>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</si>
  <si>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</si>
  <si>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</si>
  <si>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</si>
  <si>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</si>
  <si>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</si>
  <si>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</si>
  <si>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</si>
  <si>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</si>
  <si>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</si>
  <si>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</si>
  <si>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</si>
  <si>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</si>
  <si>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</si>
  <si>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</si>
  <si>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</si>
  <si>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</si>
  <si>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</si>
  <si>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</si>
  <si>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</si>
  <si>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</si>
  <si>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</si>
  <si>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</si>
  <si>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</si>
  <si>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</si>
  <si>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</si>
  <si>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</si>
  <si>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</si>
  <si>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</si>
  <si>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</si>
  <si>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</si>
  <si>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</si>
  <si>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</si>
  <si>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</si>
  <si>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</si>
  <si>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</si>
  <si>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</si>
  <si>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</si>
  <si>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</si>
  <si>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</si>
  <si>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</si>
  <si>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</si>
  <si>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</si>
  <si>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</si>
  <si>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</si>
  <si>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</si>
  <si>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</si>
  <si>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</si>
  <si>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</si>
  <si>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</si>
  <si>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</si>
  <si>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</si>
  <si>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</si>
  <si>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</si>
  <si>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</si>
  <si>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</si>
  <si>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</si>
  <si>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Stream Gage Data -- StreamGage90_04CY.xls</t>
  </si>
  <si>
    <t>ResStorChangeCY.xls</t>
  </si>
  <si>
    <t>ReservoirNetEvap95.xls</t>
  </si>
  <si>
    <t>Need to be determined by Kansas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</si>
  <si>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</si>
  <si>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</si>
  <si>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</si>
  <si>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</si>
  <si>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</si>
  <si>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</si>
  <si>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</si>
  <si>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</si>
  <si>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</si>
  <si>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</si>
  <si>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</si>
  <si>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</si>
  <si>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</si>
  <si>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</si>
  <si>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</si>
  <si>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No Longer used for porportioning Lovewell Evap.</t>
  </si>
  <si>
    <t xml:space="preserve"> </t>
  </si>
  <si>
    <t>2000.htm</t>
  </si>
  <si>
    <t>Impacts 2001 (acre-feet)</t>
  </si>
  <si>
    <t>ReservoirNetEvap01.xls</t>
  </si>
  <si>
    <t>ABOVLOV01.xls</t>
  </si>
  <si>
    <t>From HClake_Split_2001.xls</t>
  </si>
  <si>
    <t>Attachement 7 updated</t>
  </si>
  <si>
    <t>BureauT2 is NOT updated - no longer used in computations</t>
  </si>
  <si>
    <t>No longer used in computations</t>
  </si>
  <si>
    <t>Formulas no longer used, see cell 109</t>
  </si>
  <si>
    <t>2004 Data - NOT UPDATED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</si>
</sst>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8">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sz val="12"/>
      <name val="Times New Roman"/>
      <family val="1"/>
    </font>
    <font>
      <sz val="12"/>
      <name val="Arial MT"/>
      <family val="0"/>
    </font>
    <font>
      <sz val="10"/>
      <color indexed="10"/>
      <name val="Arial"/>
      <family val="2"/>
    </font>
    <font>
      <sz val="11"/>
      <color indexed="10"/>
      <name val="Arial"/>
      <family val="2"/>
    </font>
    <font>
      <b/>
      <sz val="24"/>
      <name val="Arial"/>
      <family val="0"/>
    </font>
    <font>
      <sz val="11"/>
      <name val="Arial MT"/>
      <family val="0"/>
    </font>
    <font>
      <b/>
      <sz val="11"/>
      <name val="Arial MT"/>
      <family val="0"/>
    </font>
    <font>
      <sz val="11"/>
      <color indexed="12"/>
      <name val="Arial MT"/>
      <family val="0"/>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medium">
        <color indexed="8"/>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medium">
        <color indexed="8"/>
      </right>
      <top style="thin">
        <color indexed="8"/>
      </top>
      <bottom style="double">
        <color indexed="8"/>
      </bottom>
    </border>
    <border>
      <left style="medium">
        <color indexed="8"/>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thin">
        <color indexed="8"/>
      </right>
      <top style="thin">
        <color indexed="8"/>
      </top>
      <bottom style="double">
        <color indexed="8"/>
      </bottom>
    </border>
    <border>
      <left style="thin">
        <color indexed="8"/>
      </left>
      <right>
        <color indexed="63"/>
      </right>
      <top style="double">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medium">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25"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7"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9"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30"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4" fillId="0" borderId="10" xfId="0" applyFont="1" applyFill="1" applyBorder="1" applyAlignment="1">
      <alignment horizontal="left" wrapText="1"/>
    </xf>
    <xf numFmtId="0" fontId="24" fillId="0" borderId="10" xfId="0" applyFont="1" applyBorder="1" applyAlignment="1">
      <alignment/>
    </xf>
    <xf numFmtId="0" fontId="5" fillId="0" borderId="0" xfId="0" applyFont="1" applyAlignment="1">
      <alignment horizontal="left"/>
    </xf>
    <xf numFmtId="0" fontId="26" fillId="0" borderId="0" xfId="0" applyFont="1" applyAlignment="1">
      <alignment/>
    </xf>
    <xf numFmtId="0" fontId="27" fillId="0" borderId="0" xfId="0" applyFont="1" applyAlignment="1">
      <alignment horizontal="left"/>
    </xf>
    <xf numFmtId="0" fontId="0" fillId="0" borderId="0" xfId="0" applyFont="1" applyFill="1" applyAlignment="1">
      <alignment/>
    </xf>
    <xf numFmtId="0" fontId="0" fillId="35" borderId="10" xfId="0" applyFill="1" applyBorder="1" applyAlignment="1">
      <alignment wrapText="1"/>
    </xf>
    <xf numFmtId="0" fontId="26" fillId="0" borderId="0" xfId="0" applyFont="1" applyAlignment="1">
      <alignment/>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0" fillId="0" borderId="33" xfId="0" applyBorder="1" applyAlignment="1">
      <alignment horizontal="left" wrapText="1"/>
    </xf>
    <xf numFmtId="0" fontId="0" fillId="0" borderId="33" xfId="0" applyBorder="1" applyAlignment="1">
      <alignment horizontal="right" wrapText="1"/>
    </xf>
    <xf numFmtId="0" fontId="3" fillId="0" borderId="33" xfId="0" applyFont="1" applyBorder="1" applyAlignment="1">
      <alignment horizontal="left" vertical="center" wrapText="1"/>
    </xf>
    <xf numFmtId="0" fontId="3" fillId="0" borderId="33" xfId="0" applyFont="1" applyBorder="1" applyAlignment="1">
      <alignment horizontal="center" vertical="center" wrapText="1"/>
    </xf>
    <xf numFmtId="0" fontId="26" fillId="0" borderId="10" xfId="0" applyFont="1" applyFill="1" applyBorder="1" applyAlignment="1" applyProtection="1">
      <alignment horizontal="left"/>
      <protection/>
    </xf>
    <xf numFmtId="1" fontId="26" fillId="0" borderId="10" xfId="0" applyNumberFormat="1" applyFont="1" applyFill="1" applyBorder="1" applyAlignment="1">
      <alignment/>
    </xf>
    <xf numFmtId="0" fontId="26" fillId="0" borderId="0" xfId="0" applyFont="1" applyFill="1" applyAlignment="1">
      <alignment/>
    </xf>
    <xf numFmtId="186" fontId="29" fillId="0" borderId="34" xfId="57" applyNumberFormat="1" applyFont="1" applyBorder="1" applyProtection="1">
      <alignment/>
      <protection/>
    </xf>
    <xf numFmtId="186" fontId="29" fillId="0" borderId="35" xfId="57" applyNumberFormat="1" applyFont="1" applyBorder="1" applyProtection="1">
      <alignment/>
      <protection/>
    </xf>
    <xf numFmtId="186" fontId="29" fillId="0" borderId="36" xfId="57" applyNumberFormat="1" applyFont="1" applyBorder="1" applyProtection="1">
      <alignment/>
      <protection/>
    </xf>
    <xf numFmtId="186" fontId="29" fillId="0" borderId="33" xfId="57" applyNumberFormat="1" applyFont="1" applyBorder="1" applyProtection="1">
      <alignment/>
      <protection/>
    </xf>
    <xf numFmtId="186" fontId="29" fillId="0" borderId="37" xfId="57" applyNumberFormat="1" applyFont="1" applyBorder="1" applyProtection="1">
      <alignment/>
      <protection/>
    </xf>
    <xf numFmtId="186" fontId="29" fillId="0" borderId="38" xfId="57" applyNumberFormat="1" applyFont="1" applyBorder="1" applyProtection="1">
      <alignment/>
      <protection/>
    </xf>
    <xf numFmtId="186" fontId="29" fillId="0" borderId="39" xfId="57" applyNumberFormat="1" applyFont="1" applyBorder="1" applyProtection="1">
      <alignment/>
      <protection/>
    </xf>
    <xf numFmtId="186" fontId="29" fillId="0" borderId="40" xfId="57" applyNumberFormat="1" applyFont="1" applyBorder="1" applyProtection="1">
      <alignment/>
      <protection/>
    </xf>
    <xf numFmtId="186" fontId="29" fillId="0" borderId="41" xfId="57" applyNumberFormat="1" applyFont="1" applyBorder="1" applyProtection="1">
      <alignment/>
      <protection/>
    </xf>
    <xf numFmtId="186" fontId="31" fillId="0" borderId="34" xfId="57" applyNumberFormat="1" applyFont="1" applyBorder="1" applyProtection="1">
      <alignment/>
      <protection locked="0"/>
    </xf>
    <xf numFmtId="186" fontId="31" fillId="0" borderId="33" xfId="57" applyNumberFormat="1" applyFont="1" applyBorder="1" applyProtection="1">
      <alignment/>
      <protection locked="0"/>
    </xf>
    <xf numFmtId="0" fontId="29" fillId="0" borderId="42" xfId="57" applyFont="1" applyBorder="1" applyProtection="1">
      <alignment/>
      <protection/>
    </xf>
    <xf numFmtId="0" fontId="29" fillId="0" borderId="0" xfId="57" applyFont="1" applyProtection="1">
      <alignment/>
      <protection/>
    </xf>
    <xf numFmtId="0" fontId="30" fillId="0" borderId="0" xfId="57" applyFont="1" applyAlignment="1" applyProtection="1">
      <alignment horizontal="center"/>
      <protection/>
    </xf>
    <xf numFmtId="0" fontId="29" fillId="0" borderId="43" xfId="57" applyFont="1" applyBorder="1" applyProtection="1">
      <alignment/>
      <protection/>
    </xf>
    <xf numFmtId="0" fontId="29" fillId="0" borderId="44" xfId="57" applyFont="1" applyBorder="1" applyProtection="1">
      <alignment/>
      <protection/>
    </xf>
    <xf numFmtId="0" fontId="29" fillId="0" borderId="45" xfId="57" applyFont="1" applyBorder="1" applyProtection="1">
      <alignment/>
      <protection/>
    </xf>
    <xf numFmtId="0" fontId="29" fillId="0" borderId="46" xfId="57" applyFont="1" applyBorder="1" applyProtection="1">
      <alignment/>
      <protection/>
    </xf>
    <xf numFmtId="0" fontId="29" fillId="0" borderId="47" xfId="57" applyFont="1" applyBorder="1" applyAlignment="1" applyProtection="1">
      <alignment horizontal="center"/>
      <protection/>
    </xf>
    <xf numFmtId="0" fontId="29" fillId="0" borderId="31" xfId="57" applyFont="1" applyBorder="1" applyAlignment="1" applyProtection="1">
      <alignment horizontal="center"/>
      <protection/>
    </xf>
    <xf numFmtId="0" fontId="29" fillId="0" borderId="33" xfId="57" applyFont="1" applyBorder="1" applyProtection="1">
      <alignment/>
      <protection/>
    </xf>
    <xf numFmtId="0" fontId="29" fillId="0" borderId="48" xfId="57" applyFont="1" applyBorder="1" applyAlignment="1" applyProtection="1">
      <alignment horizontal="center"/>
      <protection/>
    </xf>
    <xf numFmtId="0" fontId="29" fillId="0" borderId="49" xfId="57" applyFont="1" applyBorder="1" applyAlignment="1" applyProtection="1">
      <alignment horizontal="center"/>
      <protection/>
    </xf>
    <xf numFmtId="0" fontId="29" fillId="0" borderId="33" xfId="57" applyFont="1" applyBorder="1" applyAlignment="1" applyProtection="1">
      <alignment horizontal="center"/>
      <protection/>
    </xf>
    <xf numFmtId="0" fontId="31" fillId="0" borderId="42" xfId="57" applyFont="1" applyBorder="1" applyProtection="1">
      <alignment/>
      <protection locked="0"/>
    </xf>
    <xf numFmtId="0" fontId="31" fillId="0" borderId="50" xfId="57" applyFont="1" applyBorder="1" applyProtection="1">
      <alignment/>
      <protection locked="0"/>
    </xf>
    <xf numFmtId="0" fontId="29" fillId="0" borderId="51" xfId="57" applyFont="1" applyBorder="1" applyProtection="1">
      <alignment/>
      <protection/>
    </xf>
    <xf numFmtId="0" fontId="29" fillId="0" borderId="52" xfId="57" applyFont="1" applyBorder="1" applyAlignment="1" applyProtection="1">
      <alignment horizontal="center"/>
      <protection/>
    </xf>
    <xf numFmtId="0" fontId="30" fillId="0" borderId="52" xfId="57" applyFont="1" applyBorder="1" applyAlignment="1" applyProtection="1">
      <alignment horizontal="center"/>
      <protection/>
    </xf>
    <xf numFmtId="0" fontId="29" fillId="0" borderId="52" xfId="57" applyFont="1" applyBorder="1" applyProtection="1">
      <alignment/>
      <protection/>
    </xf>
    <xf numFmtId="0" fontId="29" fillId="0" borderId="53" xfId="57" applyFont="1" applyBorder="1" applyProtection="1">
      <alignment/>
      <protection/>
    </xf>
    <xf numFmtId="0" fontId="31" fillId="0" borderId="54" xfId="57" applyFont="1" applyBorder="1" applyAlignment="1" applyProtection="1">
      <alignment horizontal="center"/>
      <protection locked="0"/>
    </xf>
    <xf numFmtId="0" fontId="29" fillId="0" borderId="55" xfId="57" applyFont="1" applyBorder="1" applyProtection="1">
      <alignment/>
      <protection/>
    </xf>
    <xf numFmtId="0" fontId="29" fillId="0" borderId="56" xfId="57" applyFont="1" applyBorder="1" applyAlignment="1" applyProtection="1">
      <alignment horizontal="center"/>
      <protection/>
    </xf>
    <xf numFmtId="0" fontId="30" fillId="0" borderId="56" xfId="57" applyFont="1" applyBorder="1" applyAlignment="1" applyProtection="1">
      <alignment horizontal="center"/>
      <protection/>
    </xf>
    <xf numFmtId="0" fontId="29" fillId="0" borderId="56" xfId="57" applyFont="1" applyBorder="1" applyProtection="1">
      <alignment/>
      <protection/>
    </xf>
    <xf numFmtId="0" fontId="29" fillId="0" borderId="57" xfId="57" applyFont="1" applyBorder="1" applyProtection="1">
      <alignment/>
      <protection/>
    </xf>
    <xf numFmtId="0" fontId="29" fillId="0" borderId="58" xfId="57" applyFont="1" applyBorder="1" applyProtection="1">
      <alignment/>
      <protection/>
    </xf>
    <xf numFmtId="0" fontId="29" fillId="0" borderId="59" xfId="57" applyFont="1" applyBorder="1" applyProtection="1">
      <alignment/>
      <protection/>
    </xf>
    <xf numFmtId="0" fontId="29" fillId="0" borderId="60" xfId="57" applyFont="1" applyBorder="1" applyProtection="1">
      <alignment/>
      <protection/>
    </xf>
    <xf numFmtId="0" fontId="30" fillId="0" borderId="53" xfId="57" applyFont="1" applyBorder="1" applyAlignment="1" applyProtection="1">
      <alignment horizontal="center"/>
      <protection/>
    </xf>
    <xf numFmtId="0" fontId="29" fillId="0" borderId="60" xfId="57" applyFont="1" applyBorder="1" applyAlignment="1" applyProtection="1">
      <alignment horizontal="center"/>
      <protection/>
    </xf>
    <xf numFmtId="0" fontId="30" fillId="0" borderId="57" xfId="57" applyFont="1" applyBorder="1" applyAlignment="1" applyProtection="1">
      <alignment horizontal="center"/>
      <protection/>
    </xf>
    <xf numFmtId="0" fontId="29" fillId="0" borderId="42" xfId="57" applyFont="1" applyBorder="1" applyAlignment="1" applyProtection="1">
      <alignment horizontal="center"/>
      <protection/>
    </xf>
    <xf numFmtId="0" fontId="29" fillId="0" borderId="50" xfId="57" applyFont="1" applyBorder="1" applyAlignment="1" applyProtection="1">
      <alignment horizontal="center"/>
      <protection/>
    </xf>
    <xf numFmtId="0" fontId="29" fillId="0" borderId="0" xfId="57" applyFont="1" applyAlignment="1" applyProtection="1">
      <alignment horizontal="center"/>
      <protection/>
    </xf>
    <xf numFmtId="0" fontId="29" fillId="0" borderId="51" xfId="57" applyFont="1" applyBorder="1" applyAlignment="1" applyProtection="1">
      <alignment horizontal="center"/>
      <protection/>
    </xf>
    <xf numFmtId="0" fontId="29" fillId="0" borderId="61" xfId="57" applyFont="1" applyBorder="1" applyAlignment="1" applyProtection="1">
      <alignment horizontal="center"/>
      <protection/>
    </xf>
    <xf numFmtId="0" fontId="29" fillId="0" borderId="62" xfId="57" applyFont="1" applyBorder="1" applyProtection="1">
      <alignment/>
      <protection/>
    </xf>
    <xf numFmtId="0" fontId="29" fillId="0" borderId="32" xfId="57" applyFont="1" applyBorder="1" applyProtection="1">
      <alignment/>
      <protection/>
    </xf>
    <xf numFmtId="0" fontId="29" fillId="0" borderId="44" xfId="57" applyFont="1" applyBorder="1" applyAlignment="1" applyProtection="1">
      <alignment horizontal="center"/>
      <protection/>
    </xf>
    <xf numFmtId="0" fontId="29" fillId="0" borderId="32" xfId="57" applyFont="1" applyBorder="1" applyAlignment="1" applyProtection="1">
      <alignment horizontal="center"/>
      <protection/>
    </xf>
    <xf numFmtId="0" fontId="29" fillId="0" borderId="63" xfId="57" applyFont="1" applyBorder="1" applyAlignment="1" applyProtection="1">
      <alignment horizontal="center"/>
      <protection/>
    </xf>
    <xf numFmtId="0" fontId="29" fillId="0" borderId="55" xfId="57" applyFont="1" applyBorder="1" applyAlignment="1" applyProtection="1">
      <alignment horizontal="center"/>
      <protection/>
    </xf>
    <xf numFmtId="0" fontId="29" fillId="0" borderId="64" xfId="57" applyFont="1" applyBorder="1" applyAlignment="1" applyProtection="1">
      <alignment horizontal="center"/>
      <protection/>
    </xf>
    <xf numFmtId="0" fontId="29" fillId="0" borderId="65" xfId="57" applyFont="1" applyBorder="1" applyAlignment="1" applyProtection="1">
      <alignment horizontal="center"/>
      <protection/>
    </xf>
    <xf numFmtId="0" fontId="29" fillId="0" borderId="57" xfId="57" applyFont="1" applyBorder="1" applyAlignment="1" applyProtection="1">
      <alignment horizontal="center"/>
      <protection/>
    </xf>
    <xf numFmtId="0" fontId="31" fillId="0" borderId="66" xfId="57" applyFont="1" applyBorder="1" applyProtection="1">
      <alignment/>
      <protection locked="0"/>
    </xf>
    <xf numFmtId="0" fontId="31" fillId="0" borderId="67" xfId="57" applyFont="1" applyBorder="1" applyProtection="1">
      <alignment/>
      <protection locked="0"/>
    </xf>
    <xf numFmtId="0" fontId="31" fillId="0" borderId="68" xfId="57" applyFont="1" applyBorder="1" applyAlignment="1" applyProtection="1">
      <alignment horizontal="center"/>
      <protection locked="0"/>
    </xf>
    <xf numFmtId="0" fontId="31" fillId="0" borderId="69" xfId="57" applyFont="1" applyBorder="1" applyAlignment="1" applyProtection="1">
      <alignment horizontal="center"/>
      <protection locked="0"/>
    </xf>
    <xf numFmtId="0" fontId="31" fillId="0" borderId="70" xfId="57" applyFont="1" applyBorder="1" applyAlignment="1" applyProtection="1">
      <alignment horizontal="center"/>
      <protection locked="0"/>
    </xf>
    <xf numFmtId="0" fontId="31" fillId="0" borderId="71" xfId="57" applyFont="1" applyBorder="1" applyAlignment="1" applyProtection="1">
      <alignment horizontal="center"/>
      <protection locked="0"/>
    </xf>
    <xf numFmtId="0" fontId="31" fillId="0" borderId="72" xfId="57" applyFont="1" applyBorder="1" applyAlignment="1" applyProtection="1">
      <alignment horizontal="center"/>
      <protection locked="0"/>
    </xf>
    <xf numFmtId="0" fontId="31" fillId="0" borderId="73" xfId="57" applyFont="1" applyBorder="1" applyProtection="1">
      <alignment/>
      <protection locked="0"/>
    </xf>
    <xf numFmtId="0" fontId="29" fillId="0" borderId="34" xfId="57" applyFont="1" applyBorder="1" applyAlignment="1" applyProtection="1">
      <alignment horizontal="center"/>
      <protection/>
    </xf>
    <xf numFmtId="186" fontId="31" fillId="0" borderId="74" xfId="57" applyNumberFormat="1" applyFont="1" applyBorder="1" applyProtection="1">
      <alignment/>
      <protection locked="0"/>
    </xf>
    <xf numFmtId="186" fontId="29" fillId="0" borderId="74" xfId="57" applyNumberFormat="1" applyFont="1" applyBorder="1" applyProtection="1">
      <alignment/>
      <protection/>
    </xf>
    <xf numFmtId="186" fontId="31" fillId="0" borderId="48" xfId="57" applyNumberFormat="1" applyFont="1" applyBorder="1" applyProtection="1">
      <alignment/>
      <protection locked="0"/>
    </xf>
    <xf numFmtId="186" fontId="29" fillId="0" borderId="48" xfId="57" applyNumberFormat="1" applyFont="1" applyBorder="1" applyProtection="1">
      <alignment/>
      <protection/>
    </xf>
    <xf numFmtId="186" fontId="31" fillId="0" borderId="47" xfId="57" applyNumberFormat="1" applyFont="1" applyBorder="1" applyProtection="1">
      <alignment/>
      <protection locked="0"/>
    </xf>
    <xf numFmtId="186" fontId="31" fillId="0" borderId="31" xfId="57" applyNumberFormat="1" applyFont="1" applyBorder="1" applyProtection="1">
      <alignment/>
      <protection locked="0"/>
    </xf>
    <xf numFmtId="186" fontId="29" fillId="0" borderId="47" xfId="57" applyNumberFormat="1" applyFont="1" applyBorder="1" applyProtection="1">
      <alignment/>
      <protection/>
    </xf>
    <xf numFmtId="186" fontId="29" fillId="0" borderId="31" xfId="57" applyNumberFormat="1" applyFont="1" applyBorder="1" applyProtection="1">
      <alignment/>
      <protection/>
    </xf>
    <xf numFmtId="186" fontId="29" fillId="0" borderId="75" xfId="57" applyNumberFormat="1" applyFont="1" applyBorder="1" applyProtection="1">
      <alignment/>
      <protection/>
    </xf>
    <xf numFmtId="186" fontId="29" fillId="0" borderId="76" xfId="57" applyNumberFormat="1" applyFont="1" applyBorder="1" applyProtection="1">
      <alignment/>
      <protection/>
    </xf>
    <xf numFmtId="0" fontId="29" fillId="0" borderId="67" xfId="57" applyFont="1" applyBorder="1" applyAlignment="1" applyProtection="1">
      <alignment horizontal="center"/>
      <protection/>
    </xf>
    <xf numFmtId="186" fontId="31" fillId="0" borderId="68" xfId="57" applyNumberFormat="1" applyFont="1" applyBorder="1" applyProtection="1">
      <alignment/>
      <protection locked="0"/>
    </xf>
    <xf numFmtId="186" fontId="31" fillId="0" borderId="67" xfId="57" applyNumberFormat="1" applyFont="1" applyBorder="1" applyProtection="1">
      <alignment/>
      <protection locked="0"/>
    </xf>
    <xf numFmtId="186" fontId="29" fillId="0" borderId="68" xfId="57" applyNumberFormat="1" applyFont="1" applyBorder="1" applyProtection="1">
      <alignment/>
      <protection/>
    </xf>
    <xf numFmtId="186" fontId="29" fillId="0" borderId="67" xfId="57" applyNumberFormat="1" applyFont="1" applyBorder="1" applyProtection="1">
      <alignment/>
      <protection/>
    </xf>
    <xf numFmtId="186" fontId="29" fillId="0" borderId="69" xfId="57" applyNumberFormat="1" applyFont="1" applyBorder="1" applyProtection="1">
      <alignment/>
      <protection/>
    </xf>
    <xf numFmtId="186" fontId="29" fillId="0" borderId="73" xfId="57" applyNumberFormat="1" applyFont="1" applyBorder="1" applyProtection="1">
      <alignment/>
      <protection/>
    </xf>
    <xf numFmtId="0" fontId="31" fillId="0" borderId="77" xfId="57" applyFont="1" applyBorder="1" applyAlignment="1" applyProtection="1">
      <alignment horizontal="center"/>
      <protection locked="0"/>
    </xf>
    <xf numFmtId="0" fontId="32" fillId="0" borderId="0" xfId="0" applyFont="1" applyAlignment="1">
      <alignment/>
    </xf>
    <xf numFmtId="3" fontId="0" fillId="35" borderId="10" xfId="0" applyNumberFormat="1" applyFont="1" applyFill="1" applyBorder="1" applyAlignment="1">
      <alignment/>
    </xf>
    <xf numFmtId="3" fontId="0" fillId="33" borderId="10" xfId="0" applyNumberFormat="1" applyFont="1" applyFill="1" applyBorder="1" applyAlignment="1">
      <alignment/>
    </xf>
    <xf numFmtId="9" fontId="0" fillId="0" borderId="10" xfId="0" applyNumberFormat="1" applyFont="1" applyBorder="1" applyAlignment="1">
      <alignment/>
    </xf>
    <xf numFmtId="3" fontId="0" fillId="35" borderId="0" xfId="0" applyNumberFormat="1" applyFont="1" applyFill="1" applyAlignment="1">
      <alignment/>
    </xf>
    <xf numFmtId="3" fontId="0" fillId="0" borderId="10" xfId="0" applyNumberFormat="1" applyFont="1" applyFill="1" applyBorder="1" applyAlignment="1">
      <alignment/>
    </xf>
    <xf numFmtId="9" fontId="0" fillId="35" borderId="10" xfId="0" applyNumberFormat="1" applyFont="1" applyFill="1" applyBorder="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0" fontId="33" fillId="0" borderId="0" xfId="59" applyNumberFormat="1" applyFont="1" applyAlignment="1">
      <alignment/>
      <protection/>
    </xf>
    <xf numFmtId="0" fontId="0" fillId="0" borderId="10" xfId="0" applyBorder="1" applyAlignment="1">
      <alignment wrapText="1"/>
    </xf>
    <xf numFmtId="0" fontId="0" fillId="0" borderId="0" xfId="0" applyFont="1" applyAlignment="1">
      <alignment horizontal="left"/>
    </xf>
    <xf numFmtId="1" fontId="0" fillId="35" borderId="10" xfId="0" applyNumberFormat="1" applyFont="1" applyFill="1" applyBorder="1" applyAlignment="1">
      <alignment/>
    </xf>
    <xf numFmtId="3" fontId="0" fillId="0" borderId="23" xfId="0" applyNumberFormat="1" applyFont="1" applyFill="1" applyBorder="1" applyAlignment="1">
      <alignment/>
    </xf>
    <xf numFmtId="3" fontId="0" fillId="0" borderId="29" xfId="0" applyNumberFormat="1" applyFont="1" applyFill="1" applyBorder="1" applyAlignment="1">
      <alignment/>
    </xf>
    <xf numFmtId="0" fontId="0" fillId="33" borderId="0" xfId="0" applyFont="1" applyFill="1" applyBorder="1" applyAlignment="1">
      <alignment/>
    </xf>
    <xf numFmtId="9" fontId="0" fillId="35" borderId="10" xfId="62" applyFont="1" applyFill="1" applyBorder="1" applyAlignment="1">
      <alignment/>
    </xf>
    <xf numFmtId="9" fontId="0" fillId="0" borderId="10" xfId="62" applyFont="1" applyFill="1" applyBorder="1" applyAlignment="1">
      <alignment/>
    </xf>
    <xf numFmtId="0" fontId="7" fillId="0" borderId="29"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8" fillId="0" borderId="48" xfId="0" applyFont="1" applyBorder="1" applyAlignment="1">
      <alignment horizontal="center" vertical="center" wrapText="1"/>
    </xf>
    <xf numFmtId="0" fontId="28" fillId="0" borderId="78" xfId="0" applyFont="1" applyBorder="1" applyAlignment="1">
      <alignment horizontal="center" vertical="center" wrapText="1"/>
    </xf>
    <xf numFmtId="0" fontId="28" fillId="0" borderId="79"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45" xfId="59" applyNumberFormat="1" applyFont="1" applyBorder="1" applyAlignment="1" quotePrefix="1">
      <alignment horizontal="center"/>
      <protection/>
    </xf>
    <xf numFmtId="0" fontId="16" fillId="0" borderId="45" xfId="59" applyNumberFormat="1" applyFont="1" applyBorder="1" applyAlignment="1" quotePrefix="1">
      <alignment horizontal="center"/>
      <protection/>
    </xf>
    <xf numFmtId="0" fontId="16" fillId="0" borderId="45" xfId="59" applyNumberFormat="1" applyFont="1" applyBorder="1" applyAlignment="1">
      <alignment horizontal="center"/>
      <protection/>
    </xf>
    <xf numFmtId="0" fontId="14" fillId="0" borderId="78"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662940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666750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671512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662940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661035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666750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99"/>
  <sheetViews>
    <sheetView zoomScalePageLayoutView="0" workbookViewId="0" topLeftCell="A1">
      <selection activeCell="A7" sqref="A7"/>
    </sheetView>
  </sheetViews>
  <sheetFormatPr defaultColWidth="9.140625" defaultRowHeight="12.75"/>
  <cols>
    <col min="1" max="1" width="20.140625" style="0" customWidth="1"/>
    <col min="2" max="2" width="10.7109375" style="0" bestFit="1" customWidth="1"/>
  </cols>
  <sheetData>
    <row r="1" ht="12.75">
      <c r="A1" s="3"/>
    </row>
    <row r="2" spans="1:2" s="216" customFormat="1" ht="20.25">
      <c r="A2" s="214" t="s">
        <v>526</v>
      </c>
      <c r="B2" s="215"/>
    </row>
    <row r="3" spans="1:2" ht="12.75">
      <c r="A3" s="208"/>
      <c r="B3" s="41"/>
    </row>
    <row r="4" spans="1:2" ht="15">
      <c r="A4" s="210" t="s">
        <v>550</v>
      </c>
      <c r="B4" s="41"/>
    </row>
    <row r="5" spans="1:2" ht="15">
      <c r="A5" s="244" t="s">
        <v>554</v>
      </c>
      <c r="B5" s="244"/>
    </row>
    <row r="6" spans="1:2" ht="15">
      <c r="A6" s="210" t="s">
        <v>582</v>
      </c>
      <c r="B6" s="41"/>
    </row>
    <row r="7" spans="1:2" ht="12.75">
      <c r="A7" s="354" t="s">
        <v>583</v>
      </c>
      <c r="B7" s="41"/>
    </row>
    <row r="8" spans="1:3" ht="14.25">
      <c r="A8" s="211"/>
      <c r="B8" s="212"/>
      <c r="C8" s="209"/>
    </row>
    <row r="9" spans="1:3" ht="14.25">
      <c r="A9" s="211" t="s">
        <v>556</v>
      </c>
      <c r="B9" s="211"/>
      <c r="C9" s="209"/>
    </row>
    <row r="10" spans="1:3" ht="15">
      <c r="A10" s="213"/>
      <c r="B10" s="246"/>
      <c r="C10" s="209"/>
    </row>
    <row r="11" spans="1:3" ht="14.25">
      <c r="A11" s="211"/>
      <c r="B11" s="211"/>
      <c r="C11" s="209"/>
    </row>
    <row r="12" spans="1:2" ht="12.75">
      <c r="A12" t="s">
        <v>128</v>
      </c>
      <c r="B12" t="s">
        <v>557</v>
      </c>
    </row>
    <row r="13" spans="1:2" ht="15">
      <c r="A13" s="213"/>
      <c r="B13" t="s">
        <v>558</v>
      </c>
    </row>
    <row r="14" ht="12.75">
      <c r="B14" s="245"/>
    </row>
    <row r="16" spans="1:2" ht="12.75">
      <c r="A16" t="s">
        <v>143</v>
      </c>
      <c r="B16" t="s">
        <v>560</v>
      </c>
    </row>
    <row r="17" ht="12.75">
      <c r="B17" t="s">
        <v>574</v>
      </c>
    </row>
    <row r="19" spans="2:6" ht="12.75">
      <c r="B19" s="249"/>
      <c r="C19" s="249"/>
      <c r="D19" s="249"/>
      <c r="E19" s="249"/>
      <c r="F19" s="69"/>
    </row>
    <row r="20" spans="1:6" ht="12.75">
      <c r="A20" s="3"/>
      <c r="B20" s="249"/>
      <c r="C20" s="249"/>
      <c r="D20" s="249"/>
      <c r="E20" s="249"/>
      <c r="F20" s="69"/>
    </row>
    <row r="21" ht="12.75">
      <c r="B21" s="245"/>
    </row>
    <row r="22" ht="12.75">
      <c r="A22" s="65"/>
    </row>
    <row r="28" ht="12.75">
      <c r="A28" s="3"/>
    </row>
    <row r="30" ht="12.75">
      <c r="A30" s="3"/>
    </row>
    <row r="37" ht="12.75">
      <c r="A37" s="3"/>
    </row>
    <row r="38" ht="12.75">
      <c r="A38" s="68"/>
    </row>
    <row r="43" ht="12.75">
      <c r="A43" s="3"/>
    </row>
    <row r="45" ht="12.75">
      <c r="A45" s="3"/>
    </row>
    <row r="46" ht="12.75">
      <c r="A46" s="3"/>
    </row>
    <row r="47" ht="12.75">
      <c r="A47" s="3"/>
    </row>
    <row r="58" ht="12.75">
      <c r="A58" s="3"/>
    </row>
    <row r="67" ht="12.75">
      <c r="A67" s="83"/>
    </row>
    <row r="77" ht="12.75">
      <c r="A77" s="3"/>
    </row>
    <row r="84" ht="12.75">
      <c r="A84" s="3"/>
    </row>
    <row r="95" ht="12.75">
      <c r="A95" s="115"/>
    </row>
    <row r="96" ht="12.75">
      <c r="A96" s="65"/>
    </row>
    <row r="97" ht="12.75">
      <c r="A97" s="65"/>
    </row>
    <row r="98" ht="12.75">
      <c r="A98" s="65"/>
    </row>
    <row r="99" ht="12.75">
      <c r="A99" s="65"/>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2001</v>
      </c>
    </row>
    <row r="2" ht="12.75"/>
    <row r="3" ht="15.75">
      <c r="A3" s="10" t="s">
        <v>179</v>
      </c>
    </row>
    <row r="4" ht="12.75">
      <c r="A4" s="8" t="s">
        <v>180</v>
      </c>
    </row>
    <row r="5" spans="1:2" ht="12.75">
      <c r="A5" s="55" t="str">
        <f>+INPUT!B53</f>
        <v>Imported Water Nebraska</v>
      </c>
      <c r="B5" s="55">
        <f>+INPUT!C53</f>
        <v>29</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7769</v>
      </c>
    </row>
    <row r="9" spans="1:2" ht="12" customHeight="1">
      <c r="A9" s="9" t="s">
        <v>83</v>
      </c>
      <c r="B9" s="9"/>
    </row>
    <row r="10" spans="1:2" ht="12.75">
      <c r="A10" s="5" t="s">
        <v>215</v>
      </c>
      <c r="B10" s="2"/>
    </row>
    <row r="11" spans="1:2" ht="12.75">
      <c r="A11" s="60" t="str">
        <f>+INPUT!B245</f>
        <v>Red Willow Canal % Return Flow</v>
      </c>
      <c r="B11" s="60">
        <f>+INPUT!C245</f>
        <v>0.5008967320261437</v>
      </c>
    </row>
    <row r="12" spans="1:2" ht="12.75">
      <c r="A12" s="2" t="s">
        <v>83</v>
      </c>
      <c r="B12" s="2"/>
    </row>
    <row r="13" spans="1:2" ht="12.75">
      <c r="A13" s="5" t="s">
        <v>182</v>
      </c>
      <c r="B13" s="2"/>
    </row>
    <row r="14" spans="1:2" ht="12.75">
      <c r="A14" s="55" t="str">
        <f>+INPUT!B190</f>
        <v>Red Willow Creek Near Red Willow</v>
      </c>
      <c r="B14" s="61">
        <f>+INPUT!C190</f>
        <v>12044.98</v>
      </c>
    </row>
    <row r="15" spans="1:2" ht="12.75">
      <c r="A15" s="55" t="str">
        <f>+INPUT!B219</f>
        <v>Hugh Butler Lake Evaporation</v>
      </c>
      <c r="B15" s="55">
        <f>+INPUT!C219</f>
        <v>2447</v>
      </c>
    </row>
    <row r="16" spans="1:2" ht="12.75">
      <c r="A16" s="55" t="str">
        <f>+INPUT!B220</f>
        <v>Hugh Butler Lake Change In Storage</v>
      </c>
      <c r="B16" s="55">
        <f>+INPUT!C220</f>
        <v>-5500</v>
      </c>
    </row>
    <row r="17" spans="1:2" ht="12.75">
      <c r="A17" s="55" t="str">
        <f>+INPUT!B244</f>
        <v>Red Willow Canal Diversions</v>
      </c>
      <c r="B17" s="55">
        <f>+INPUT!C244</f>
        <v>5355</v>
      </c>
    </row>
    <row r="18" spans="1:2" ht="12.75">
      <c r="A18" s="122" t="str">
        <f>+INPUT!B101</f>
        <v>SW Diversions - Irrigation - Non-Federal Canals - Nebraska</v>
      </c>
      <c r="B18" s="122">
        <f>+INPUT!C101</f>
        <v>0</v>
      </c>
    </row>
    <row r="19" spans="1:2" ht="12.75">
      <c r="A19" s="122" t="str">
        <f>+INPUT!B102</f>
        <v>SW Diversions - Irrigation - Small Pumps - Nebraska</v>
      </c>
      <c r="B19" s="122">
        <f>+INPUT!C102</f>
        <v>163.7</v>
      </c>
    </row>
    <row r="20" spans="1:2" ht="12.75">
      <c r="A20" s="122" t="str">
        <f>+INPUT!B103</f>
        <v>SW Diversions - M&amp;I - Nebraska</v>
      </c>
      <c r="B20" s="122">
        <f>+INPUT!C103</f>
        <v>0</v>
      </c>
    </row>
    <row r="21" spans="1:2" ht="12.75">
      <c r="A21" s="122" t="str">
        <f>+INPUT!B167</f>
        <v>Non-Federal Reservoir Evaporation - Nebraska</v>
      </c>
      <c r="B21" s="122">
        <f>+INPUT!C167</f>
        <v>0</v>
      </c>
    </row>
    <row r="22" spans="1:2" ht="12.75">
      <c r="A22" s="122" t="str">
        <f>+INPUT!B207</f>
        <v>Red Willow Flood Flow</v>
      </c>
      <c r="B22" s="122">
        <f>+INPUT!C207</f>
        <v>0</v>
      </c>
    </row>
    <row r="23" spans="1:2" ht="12.75">
      <c r="A23" s="137"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9">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9">
        <f>(ROUND(SUM(B30:B30),-1))</f>
        <v>0</v>
      </c>
    </row>
    <row r="32" spans="1:2" ht="12.75">
      <c r="A32" s="17" t="s">
        <v>83</v>
      </c>
      <c r="B32" s="17"/>
    </row>
    <row r="33" spans="1:2" ht="12.75">
      <c r="A33" s="8" t="s">
        <v>1</v>
      </c>
      <c r="B33" s="17"/>
    </row>
    <row r="34" spans="1:3" ht="12.75">
      <c r="A34" s="17" t="str">
        <f>((LEFT(A17,16)&amp;" "&amp;"CBCU (10%)"))</f>
        <v>Red Willow Canal CBCU (10%)</v>
      </c>
      <c r="B34" s="17">
        <f>+(B17*(1-B11))*0.1</f>
        <v>267.26980000000003</v>
      </c>
      <c r="C34" s="76"/>
    </row>
    <row r="35" spans="1:2" ht="12.75">
      <c r="A35" s="17" t="str">
        <f>'NORTH FORK'!A23</f>
        <v>SW CBCU - Irrigation - Non Federal Canals</v>
      </c>
      <c r="B35" s="79">
        <f>B18*CanalCUPercent</f>
        <v>0</v>
      </c>
    </row>
    <row r="36" spans="1:2" ht="12.75">
      <c r="A36" s="17" t="str">
        <f>'NORTH FORK'!A24</f>
        <v>SW CBCU - Irrigation - Small Pumps</v>
      </c>
      <c r="B36" s="79">
        <f>B19*PumperCUPercent</f>
        <v>122.77499999999999</v>
      </c>
    </row>
    <row r="37" spans="1:2" ht="12.75">
      <c r="A37" s="17" t="str">
        <f>'NORTH FORK'!A25</f>
        <v>SW CBCU - M&amp;I</v>
      </c>
      <c r="B37" s="17">
        <f>B20*MI_CUPercent</f>
        <v>0</v>
      </c>
    </row>
    <row r="38" spans="1:3" ht="12.75">
      <c r="A38" s="17" t="str">
        <f>(LEFT(A15,28))&amp;" "&amp;"(10%)"</f>
        <v>Hugh Butler Lake Evaporation (10%)</v>
      </c>
      <c r="B38" s="79">
        <f>+B15*0.1</f>
        <v>244.70000000000002</v>
      </c>
      <c r="C38" s="76"/>
    </row>
    <row r="39" spans="1:2" ht="12.75">
      <c r="A39" s="116" t="str">
        <f>'NORTH FORK'!A26</f>
        <v>Non-Federal Reservoir Evaporation</v>
      </c>
      <c r="B39" s="17">
        <f>B21</f>
        <v>0</v>
      </c>
    </row>
    <row r="40" spans="1:3" ht="12.75">
      <c r="A40" s="17" t="str">
        <f>'NORTH FORK'!A27</f>
        <v>SW CBCU</v>
      </c>
      <c r="B40" s="79">
        <f>B34+B35+B36+B37+B38+B39</f>
        <v>634.7448</v>
      </c>
      <c r="C40" s="76"/>
    </row>
    <row r="41" spans="1:2" ht="12.75">
      <c r="A41" s="17" t="str">
        <f>'NORTH FORK'!A28</f>
        <v>GW CBCU</v>
      </c>
      <c r="B41" s="17">
        <f>+B8</f>
        <v>7769</v>
      </c>
    </row>
    <row r="42" spans="1:2" ht="12.75">
      <c r="A42" s="17" t="str">
        <f>'NORTH FORK'!A29</f>
        <v>Total CBCU</v>
      </c>
      <c r="B42" s="79">
        <f>(ROUND(SUM(B40:B41),-1))</f>
        <v>8400</v>
      </c>
    </row>
    <row r="43" spans="1:2" ht="12.75">
      <c r="A43" s="116" t="s">
        <v>83</v>
      </c>
      <c r="B43" s="17"/>
    </row>
    <row r="44" spans="1:2" ht="12.75">
      <c r="A44" s="5" t="s">
        <v>184</v>
      </c>
      <c r="B44" s="17"/>
    </row>
    <row r="45" spans="1:2" ht="12.75">
      <c r="A45" s="116" t="str">
        <f>'NORTH FORK'!A42</f>
        <v>Total SW CBCU</v>
      </c>
      <c r="B45" s="79">
        <f>+B40</f>
        <v>634.7448</v>
      </c>
    </row>
    <row r="46" spans="1:2" ht="12.75">
      <c r="A46" s="116" t="str">
        <f>'NORTH FORK'!A43</f>
        <v>Total GW CBCU</v>
      </c>
      <c r="B46" s="79">
        <f>+B26+B30+B41</f>
        <v>7769</v>
      </c>
    </row>
    <row r="47" spans="1:2" ht="12.75">
      <c r="A47" s="116" t="str">
        <f>'NORTH FORK'!A44</f>
        <v>Total Basin CBCU</v>
      </c>
      <c r="B47" s="79">
        <f>(ROUND(SUM(B45:B46),-1))</f>
        <v>8400</v>
      </c>
    </row>
    <row r="48" spans="1:2" ht="12.75">
      <c r="A48" s="116" t="s">
        <v>83</v>
      </c>
      <c r="B48" s="17"/>
    </row>
    <row r="49" spans="1:2" ht="15.75">
      <c r="A49" s="11" t="s">
        <v>10</v>
      </c>
      <c r="B49" s="17"/>
    </row>
    <row r="50" spans="1:2" ht="12.75">
      <c r="A50" s="79" t="str">
        <f>A14</f>
        <v>Red Willow Creek Near Red Willow</v>
      </c>
      <c r="B50" s="79">
        <f>B14</f>
        <v>12044.98</v>
      </c>
    </row>
    <row r="51" spans="1:3" ht="12.75">
      <c r="A51" s="17" t="str">
        <f>(LEFT(A34,22))&amp;" "&amp;"(90%)"</f>
        <v>Red Willow Canal CBCU  (90%)</v>
      </c>
      <c r="B51" s="79">
        <f>0.9*(B17*(1-B11))</f>
        <v>2405.4282000000003</v>
      </c>
      <c r="C51" s="76"/>
    </row>
    <row r="52" spans="1:2" ht="12.75">
      <c r="A52" s="17" t="str">
        <f>'NORTH FORK'!A49</f>
        <v>Colorado CBCU</v>
      </c>
      <c r="B52" s="79">
        <f>+B27</f>
        <v>0</v>
      </c>
    </row>
    <row r="53" spans="1:2" ht="12.75">
      <c r="A53" s="17" t="str">
        <f>'NORTH FORK'!A50</f>
        <v>Kansas CBCU</v>
      </c>
      <c r="B53" s="79">
        <f>+B31</f>
        <v>0</v>
      </c>
    </row>
    <row r="54" spans="1:2" ht="12.75">
      <c r="A54" s="17" t="str">
        <f>'NORTH FORK'!A51</f>
        <v>Nebraska CBCU</v>
      </c>
      <c r="B54" s="79">
        <f>+B42</f>
        <v>8400</v>
      </c>
    </row>
    <row r="55" spans="1:2" ht="12.75">
      <c r="A55" s="17" t="str">
        <f>A16</f>
        <v>Hugh Butler Lake Change In Storage</v>
      </c>
      <c r="B55" s="17">
        <f>+B16</f>
        <v>-5500</v>
      </c>
    </row>
    <row r="56" spans="1:2" ht="12.75">
      <c r="A56" s="17" t="str">
        <f>(LEFT(A15,28))&amp;" "&amp;"(90%)"</f>
        <v>Hugh Butler Lake Evaporation (90%)</v>
      </c>
      <c r="B56" s="17">
        <f>+B15*0.9</f>
        <v>2202.3</v>
      </c>
    </row>
    <row r="57" spans="1:2" ht="12.75">
      <c r="A57" s="17" t="s">
        <v>249</v>
      </c>
      <c r="B57" s="17">
        <f>0.9*(B17*B11)</f>
        <v>2414.0717999999997</v>
      </c>
    </row>
    <row r="58" spans="1:3" ht="12.75">
      <c r="A58" s="17" t="str">
        <f>'NORTH FORK'!A52</f>
        <v>Imported Water</v>
      </c>
      <c r="B58" s="17">
        <f>+B5</f>
        <v>29</v>
      </c>
      <c r="C58" s="76"/>
    </row>
    <row r="59" spans="1:3" ht="12.75">
      <c r="A59" s="17" t="str">
        <f>'NORTH FORK'!A53</f>
        <v>Virgin Water Supply</v>
      </c>
      <c r="B59" s="79">
        <f>ROUND(B50+B52+B53+B54+B51+B56+B57+B55-B58,-1)</f>
        <v>21940</v>
      </c>
      <c r="C59" s="76"/>
    </row>
    <row r="60" spans="1:2" ht="12.75">
      <c r="A60" s="17" t="str">
        <f>'NORTH FORK'!A54</f>
        <v>Adjustment For Flood Flows</v>
      </c>
      <c r="B60" s="17">
        <f>B22</f>
        <v>0</v>
      </c>
    </row>
    <row r="61" spans="1:2" ht="12.75">
      <c r="A61" s="17" t="str">
        <f>'NORTH FORK'!A55</f>
        <v>Computed Water Supply</v>
      </c>
      <c r="B61" s="79">
        <f>ROUND(+B59-B60-B55,-1)</f>
        <v>27440</v>
      </c>
    </row>
    <row r="62" spans="1:2" ht="12.75">
      <c r="A62" s="116" t="s">
        <v>83</v>
      </c>
      <c r="B62" s="17"/>
    </row>
    <row r="63" spans="1:2" ht="15.75">
      <c r="A63" s="11" t="s">
        <v>12</v>
      </c>
      <c r="B63" s="13"/>
    </row>
    <row r="64" spans="1:2" ht="12.75">
      <c r="A64" s="17" t="str">
        <f>'NORTH FORK'!A58</f>
        <v>Colorado Percent Of Allocation</v>
      </c>
      <c r="B64" s="141">
        <f>'T2'!D10</f>
        <v>0</v>
      </c>
    </row>
    <row r="65" spans="1:2" ht="12.75">
      <c r="A65" s="17" t="str">
        <f>'NORTH FORK'!A59</f>
        <v>Colorado Allocation</v>
      </c>
      <c r="B65" s="79">
        <f>ROUND(+B61*B64,-1)</f>
        <v>0</v>
      </c>
    </row>
    <row r="66" spans="1:2" ht="12.75">
      <c r="A66" s="17" t="str">
        <f>'NORTH FORK'!A60</f>
        <v>Kansas Percent Of Allocation</v>
      </c>
      <c r="B66" s="141">
        <f>'T2'!F10</f>
        <v>0</v>
      </c>
    </row>
    <row r="67" spans="1:2" ht="12.75">
      <c r="A67" s="17" t="str">
        <f>'NORTH FORK'!A61</f>
        <v>Kansas Allocation</v>
      </c>
      <c r="B67" s="79">
        <f>ROUND(B61*B66,-1)</f>
        <v>0</v>
      </c>
    </row>
    <row r="68" spans="1:2" ht="12.75">
      <c r="A68" s="17" t="str">
        <f>'NORTH FORK'!A62</f>
        <v>Nebraska Percent Of Allocation</v>
      </c>
      <c r="B68" s="141">
        <f>'T2'!H10</f>
        <v>0.192</v>
      </c>
    </row>
    <row r="69" spans="1:2" ht="12.75">
      <c r="A69" s="17" t="str">
        <f>'NORTH FORK'!A63</f>
        <v>Nebraska Allocation</v>
      </c>
      <c r="B69" s="79">
        <f>ROUND(B61*B68,-1)</f>
        <v>5270</v>
      </c>
    </row>
    <row r="70" spans="1:2" ht="12.75">
      <c r="A70" s="2" t="str">
        <f>'NORTH FORK'!A64</f>
        <v>Total Basin Allocation</v>
      </c>
      <c r="B70" s="4">
        <f>+B65+B67+B69</f>
        <v>5270</v>
      </c>
    </row>
    <row r="71" spans="1:2" ht="12.75">
      <c r="A71" s="2" t="str">
        <f>'NORTH FORK'!A65</f>
        <v>Percent Of Supply Not Allocated</v>
      </c>
      <c r="B71" s="16">
        <f>'T2'!J10</f>
        <v>0.808</v>
      </c>
    </row>
    <row r="72" spans="1:2" ht="12.75">
      <c r="A72" s="2" t="str">
        <f>'NORTH FORK'!A66</f>
        <v>Quantity Of Unallocated Supply</v>
      </c>
      <c r="B72" s="4">
        <f>+B61-B65-B67-B69</f>
        <v>22170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2001</v>
      </c>
    </row>
    <row r="2" ht="12.75"/>
    <row r="3" ht="15.75">
      <c r="A3" s="10" t="s">
        <v>179</v>
      </c>
    </row>
    <row r="4" ht="12.75">
      <c r="A4" s="8" t="s">
        <v>180</v>
      </c>
    </row>
    <row r="5" spans="1:2" ht="12.75">
      <c r="A5" s="55" t="str">
        <f>+INPUT!B54</f>
        <v>Imported Water Nebraska</v>
      </c>
      <c r="B5" s="55">
        <f>+INPUT!C54</f>
        <v>9197</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28258</v>
      </c>
    </row>
    <row r="9" spans="1:2" ht="12" customHeight="1">
      <c r="A9" s="9" t="s">
        <v>83</v>
      </c>
      <c r="B9" s="9"/>
    </row>
    <row r="10" spans="1:2" ht="12.75">
      <c r="A10" s="5" t="s">
        <v>182</v>
      </c>
      <c r="B10" s="2"/>
    </row>
    <row r="11" spans="1:2" ht="12.75">
      <c r="A11" s="55" t="str">
        <f>+INPUT!B191</f>
        <v>Medicine Creek Below Harry Strunk</v>
      </c>
      <c r="B11" s="55">
        <f>+INPUT!C191</f>
        <v>31372.8</v>
      </c>
    </row>
    <row r="12" spans="1:2" ht="12.75">
      <c r="A12" s="55" t="str">
        <f>+INPUT!B221</f>
        <v>Harry Strunk Lake Evaporation</v>
      </c>
      <c r="B12" s="55">
        <f>+INPUT!C221</f>
        <v>2850.4</v>
      </c>
    </row>
    <row r="13" spans="1:2" ht="12.75">
      <c r="A13" s="55" t="str">
        <f>+INPUT!B222</f>
        <v>Harry Strunk Lake Change In Storage</v>
      </c>
      <c r="B13" s="55">
        <f>+INPUT!C222</f>
        <v>100</v>
      </c>
    </row>
    <row r="14" spans="1:2" ht="12.75">
      <c r="A14" s="122" t="str">
        <f>+INPUT!B104</f>
        <v>SW Diversions - Irrigation - Non-Federal Canals - Nebraska</v>
      </c>
      <c r="B14" s="122">
        <f>+INPUT!C104</f>
        <v>0</v>
      </c>
    </row>
    <row r="15" spans="1:2" ht="12.75">
      <c r="A15" s="122" t="str">
        <f>+INPUT!B105</f>
        <v>SW Diversions - Irrigation - Small Pumps - Nebraska</v>
      </c>
      <c r="B15" s="122">
        <f>+INPUT!C105</f>
        <v>684.4</v>
      </c>
    </row>
    <row r="16" spans="1:2" ht="12.75">
      <c r="A16" s="122" t="str">
        <f>+INPUT!B106</f>
        <v>SW Diversions - M&amp;I - Nebraska</v>
      </c>
      <c r="B16" s="122">
        <f>+INPUT!C106</f>
        <v>0</v>
      </c>
    </row>
    <row r="17" spans="1:2" ht="12.75">
      <c r="A17" s="122" t="str">
        <f>+INPUT!B107</f>
        <v>SW Diversions - Irrigation - Non-Federal Canals - Nebraska -Below Gage</v>
      </c>
      <c r="B17" s="122">
        <f>+INPUT!C107</f>
        <v>0</v>
      </c>
    </row>
    <row r="18" spans="1:2" ht="12.75">
      <c r="A18" s="122" t="str">
        <f>+INPUT!B108</f>
        <v>SW Diversions - Irrigation - Small Pumps -Nebraska - Below Gage</v>
      </c>
      <c r="B18" s="122">
        <f>+INPUT!C108</f>
        <v>0</v>
      </c>
    </row>
    <row r="19" spans="1:2" ht="12.75">
      <c r="A19" s="122" t="str">
        <f>+INPUT!B109</f>
        <v>SW Diversions - M&amp;I - Nebraska - Below Gage</v>
      </c>
      <c r="B19" s="122">
        <f>+INPUT!C109</f>
        <v>0</v>
      </c>
    </row>
    <row r="20" spans="1:2" ht="12.75">
      <c r="A20" s="122" t="str">
        <f>+INPUT!B168</f>
        <v>Non-Federal Reservoir Evaporation - Nebraska</v>
      </c>
      <c r="B20" s="122">
        <f>+INPUT!C168</f>
        <v>0</v>
      </c>
    </row>
    <row r="21" spans="1:2" ht="12.75">
      <c r="A21" s="122" t="str">
        <f>+INPUT!B169</f>
        <v>Non-Federal Reservoir Evaporation - Nebraska - Below Gage</v>
      </c>
      <c r="B21" s="122">
        <f>+INPUT!C169</f>
        <v>0</v>
      </c>
    </row>
    <row r="22" spans="1:2" ht="12.75">
      <c r="A22" s="122" t="str">
        <f>+INPUT!B208</f>
        <v>Medicine Creek Flood Flow</v>
      </c>
      <c r="B22" s="122">
        <f>+INPUT!C208</f>
        <v>0</v>
      </c>
    </row>
    <row r="23" spans="1:2" ht="12.75">
      <c r="A23" s="137"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9">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9">
        <f>(ROUND(SUM(B30:B30),-1))</f>
        <v>0</v>
      </c>
    </row>
    <row r="32" spans="1:2" ht="12.75">
      <c r="A32" s="17" t="s">
        <v>83</v>
      </c>
      <c r="B32" s="17"/>
    </row>
    <row r="33" spans="1:2" ht="12.75">
      <c r="A33" s="8" t="s">
        <v>1</v>
      </c>
      <c r="B33" s="17"/>
    </row>
    <row r="34" spans="1:2" ht="12.75">
      <c r="A34" s="17" t="str">
        <f>'NORTH FORK'!A23</f>
        <v>SW CBCU - Irrigation - Non Federal Canals</v>
      </c>
      <c r="B34" s="79">
        <f>B14*CanalCUPercent</f>
        <v>0</v>
      </c>
    </row>
    <row r="35" spans="1:2" ht="12.75">
      <c r="A35" s="17" t="str">
        <f>'NORTH FORK'!A24</f>
        <v>SW CBCU - Irrigation - Small Pumps</v>
      </c>
      <c r="B35" s="79">
        <f>B15*PumperCUPercent</f>
        <v>513.3</v>
      </c>
    </row>
    <row r="36" spans="1:2" ht="12.75">
      <c r="A36" s="17" t="str">
        <f>'NORTH FORK'!A25</f>
        <v>SW CBCU - M&amp;I</v>
      </c>
      <c r="B36" s="17">
        <f>B16*MI_CUPercent</f>
        <v>0</v>
      </c>
    </row>
    <row r="37" spans="1:2" ht="12.75">
      <c r="A37" s="17" t="str">
        <f>'NORTH FORK'!A23&amp;" "&amp;"-"&amp;" "&amp;"Below Gage"</f>
        <v>SW CBCU - Irrigation - Non Federal Canals - Below Gage</v>
      </c>
      <c r="B37" s="79">
        <f>+B17*CanalCUPercent</f>
        <v>0</v>
      </c>
    </row>
    <row r="38" spans="1:2" ht="12.75">
      <c r="A38" s="17" t="str">
        <f>'NORTH FORK'!A24&amp;" "&amp;"-"&amp;" "&amp;"Below Gage"</f>
        <v>SW CBCU - Irrigation - Small Pumps - Below Gage</v>
      </c>
      <c r="B38" s="79">
        <f>+B18*PumperCUPercent</f>
        <v>0</v>
      </c>
    </row>
    <row r="39" spans="1:2" ht="12.75">
      <c r="A39" s="17" t="str">
        <f>'NORTH FORK'!A25&amp;" "&amp;"-"&amp;" "&amp;"Below Gage"</f>
        <v>SW CBCU - M&amp;I - Below Gage</v>
      </c>
      <c r="B39" s="79">
        <f>+B19*MI_CUPercent</f>
        <v>0</v>
      </c>
    </row>
    <row r="40" spans="1:3" ht="12.75">
      <c r="A40" s="116" t="str">
        <f>'NORTH FORK'!A26</f>
        <v>Non-Federal Reservoir Evaporation</v>
      </c>
      <c r="B40" s="17">
        <f>B20</f>
        <v>0</v>
      </c>
      <c r="C40" s="53"/>
    </row>
    <row r="41" spans="1:3" ht="12.75">
      <c r="A41" s="116" t="str">
        <f>'NORTH FORK'!A26&amp;" "&amp;"-"&amp;" "&amp;"Below gage"</f>
        <v>Non-Federal Reservoir Evaporation - Below gage</v>
      </c>
      <c r="B41" s="17">
        <f>B21</f>
        <v>0</v>
      </c>
      <c r="C41" s="53"/>
    </row>
    <row r="42" spans="1:3" ht="12.75">
      <c r="A42" s="17" t="str">
        <f>'NORTH FORK'!A27</f>
        <v>SW CBCU</v>
      </c>
      <c r="B42" s="79">
        <f>B34+B35+B36+B37+B38+B39+B40+B41</f>
        <v>513.3</v>
      </c>
      <c r="C42" s="76"/>
    </row>
    <row r="43" spans="1:3" ht="12.75">
      <c r="A43" s="17" t="str">
        <f>'NORTH FORK'!A28</f>
        <v>GW CBCU</v>
      </c>
      <c r="B43" s="17">
        <f>+B8</f>
        <v>28258</v>
      </c>
      <c r="C43" s="53"/>
    </row>
    <row r="44" spans="1:3" ht="12.75">
      <c r="A44" s="17" t="str">
        <f>'NORTH FORK'!A29</f>
        <v>Total CBCU</v>
      </c>
      <c r="B44" s="79">
        <f>(ROUND(SUM(B42:B43),-1))</f>
        <v>28770</v>
      </c>
      <c r="C44" s="53"/>
    </row>
    <row r="45" spans="1:3" ht="12.75">
      <c r="A45" s="17" t="s">
        <v>83</v>
      </c>
      <c r="B45" s="17"/>
      <c r="C45" s="53"/>
    </row>
    <row r="46" spans="1:3" ht="12.75">
      <c r="A46" s="5" t="s">
        <v>184</v>
      </c>
      <c r="B46" s="17"/>
      <c r="C46" s="53"/>
    </row>
    <row r="47" spans="1:3" ht="12.75">
      <c r="A47" s="116" t="str">
        <f>'NORTH FORK'!A42</f>
        <v>Total SW CBCU</v>
      </c>
      <c r="B47" s="79">
        <f>+B42</f>
        <v>513.3</v>
      </c>
      <c r="C47" s="53"/>
    </row>
    <row r="48" spans="1:3" ht="12.75">
      <c r="A48" s="116" t="str">
        <f>'NORTH FORK'!A43</f>
        <v>Total GW CBCU</v>
      </c>
      <c r="B48" s="79">
        <f>+B26+B30+B43</f>
        <v>28258</v>
      </c>
      <c r="C48" s="53"/>
    </row>
    <row r="49" spans="1:3" ht="12.75">
      <c r="A49" s="116" t="str">
        <f>'NORTH FORK'!A44</f>
        <v>Total Basin CBCU</v>
      </c>
      <c r="B49" s="116">
        <f>(ROUND(SUM(B47:B48),-1))</f>
        <v>28770</v>
      </c>
      <c r="C49" s="53"/>
    </row>
    <row r="50" spans="1:3" ht="12.75">
      <c r="A50" s="116" t="s">
        <v>83</v>
      </c>
      <c r="B50" s="17"/>
      <c r="C50" s="85"/>
    </row>
    <row r="51" spans="1:3" ht="12.75">
      <c r="A51" s="5" t="s">
        <v>415</v>
      </c>
      <c r="B51" s="17"/>
      <c r="C51" s="85"/>
    </row>
    <row r="52" spans="1:3" ht="12.75">
      <c r="A52" s="17" t="s">
        <v>250</v>
      </c>
      <c r="B52" s="79">
        <f>B37+B38+B39+B41</f>
        <v>0</v>
      </c>
      <c r="C52" s="87"/>
    </row>
    <row r="53" spans="1:3" ht="12.75">
      <c r="A53" s="17" t="s">
        <v>4</v>
      </c>
      <c r="B53" s="79">
        <f>B52</f>
        <v>0</v>
      </c>
      <c r="C53" s="87"/>
    </row>
    <row r="54" spans="1:3" ht="12.75">
      <c r="A54" s="17" t="s">
        <v>83</v>
      </c>
      <c r="B54" s="17"/>
      <c r="C54" s="85"/>
    </row>
    <row r="55" spans="1:3" ht="15.75">
      <c r="A55" s="11" t="s">
        <v>10</v>
      </c>
      <c r="B55" s="17"/>
      <c r="C55" s="85"/>
    </row>
    <row r="56" spans="1:3" ht="12.75">
      <c r="A56" s="79" t="str">
        <f>A11</f>
        <v>Medicine Creek Below Harry Strunk</v>
      </c>
      <c r="B56" s="79">
        <f>B11</f>
        <v>31372.8</v>
      </c>
      <c r="C56" s="85"/>
    </row>
    <row r="57" spans="1:3" ht="12.75">
      <c r="A57" s="17" t="str">
        <f>'NORTH FORK'!A49</f>
        <v>Colorado CBCU</v>
      </c>
      <c r="B57" s="79">
        <f>+B27</f>
        <v>0</v>
      </c>
      <c r="C57" s="85"/>
    </row>
    <row r="58" spans="1:3" ht="12.75">
      <c r="A58" s="17" t="str">
        <f>'NORTH FORK'!A50</f>
        <v>Kansas CBCU</v>
      </c>
      <c r="B58" s="79">
        <f>+B31</f>
        <v>0</v>
      </c>
      <c r="C58" s="85"/>
    </row>
    <row r="59" spans="1:3" ht="12.75">
      <c r="A59" s="17" t="str">
        <f>'NORTH FORK'!A51</f>
        <v>Nebraska CBCU</v>
      </c>
      <c r="B59" s="79">
        <f>B44</f>
        <v>28770</v>
      </c>
      <c r="C59" s="85"/>
    </row>
    <row r="60" spans="1:3" ht="12.75">
      <c r="A60" s="17" t="s">
        <v>250</v>
      </c>
      <c r="B60" s="79">
        <f>B53</f>
        <v>0</v>
      </c>
      <c r="C60" s="85"/>
    </row>
    <row r="61" spans="1:3" ht="12.75">
      <c r="A61" s="17" t="str">
        <f>A13</f>
        <v>Harry Strunk Lake Change In Storage</v>
      </c>
      <c r="B61" s="17">
        <f>+B13</f>
        <v>100</v>
      </c>
      <c r="C61" s="85"/>
    </row>
    <row r="62" spans="1:3" ht="12.75">
      <c r="A62" s="17" t="str">
        <f>A12</f>
        <v>Harry Strunk Lake Evaporation</v>
      </c>
      <c r="B62" s="17">
        <f>+B12</f>
        <v>2850.4</v>
      </c>
      <c r="C62" s="85"/>
    </row>
    <row r="63" spans="1:3" ht="12.75">
      <c r="A63" s="17" t="str">
        <f>'NORTH FORK'!A52</f>
        <v>Imported Water</v>
      </c>
      <c r="B63" s="17">
        <f>B5</f>
        <v>9197</v>
      </c>
      <c r="C63" s="87"/>
    </row>
    <row r="64" spans="1:3" ht="12.75">
      <c r="A64" s="17" t="str">
        <f>'NORTH FORK'!A53</f>
        <v>Virgin Water Supply</v>
      </c>
      <c r="B64" s="79">
        <f>ROUND(B56+B57+B58+B59-B60+B61+B62-B63,-1)</f>
        <v>53900</v>
      </c>
      <c r="C64" s="53"/>
    </row>
    <row r="65" spans="1:3" ht="12.75">
      <c r="A65" s="17" t="str">
        <f>'NORTH FORK'!A54</f>
        <v>Adjustment For Flood Flows</v>
      </c>
      <c r="B65" s="17">
        <f>B22</f>
        <v>0</v>
      </c>
      <c r="C65" s="53"/>
    </row>
    <row r="66" spans="1:3" ht="12.75">
      <c r="A66" s="17" t="str">
        <f>'NORTH FORK'!A55</f>
        <v>Computed Water Supply</v>
      </c>
      <c r="B66" s="79">
        <f>+ROUND(B64-B65-B61,-1)</f>
        <v>53800</v>
      </c>
      <c r="C66" s="53"/>
    </row>
    <row r="67" spans="1:3" ht="12.75">
      <c r="A67" s="116" t="s">
        <v>83</v>
      </c>
      <c r="B67" s="17"/>
      <c r="C67" s="53"/>
    </row>
    <row r="68" spans="1:3" ht="15.75">
      <c r="A68" s="11" t="s">
        <v>12</v>
      </c>
      <c r="B68" s="13"/>
      <c r="C68" s="53"/>
    </row>
    <row r="69" spans="1:3" ht="12.75">
      <c r="A69" s="17" t="str">
        <f>'NORTH FORK'!A58</f>
        <v>Colorado Percent Of Allocation</v>
      </c>
      <c r="B69" s="141">
        <f>'T2'!D11</f>
        <v>0</v>
      </c>
      <c r="C69" s="53"/>
    </row>
    <row r="70" spans="1:3" ht="12.75">
      <c r="A70" s="17" t="str">
        <f>'NORTH FORK'!A59</f>
        <v>Colorado Allocation</v>
      </c>
      <c r="B70" s="79">
        <f>ROUND(+B66*B69,-1)</f>
        <v>0</v>
      </c>
      <c r="C70" s="53"/>
    </row>
    <row r="71" spans="1:3" ht="12.75">
      <c r="A71" s="17" t="str">
        <f>'NORTH FORK'!A60</f>
        <v>Kansas Percent Of Allocation</v>
      </c>
      <c r="B71" s="141">
        <f>'T2'!F11</f>
        <v>0</v>
      </c>
      <c r="C71" s="53"/>
    </row>
    <row r="72" spans="1:3" ht="12.75">
      <c r="A72" s="17" t="str">
        <f>'NORTH FORK'!A61</f>
        <v>Kansas Allocation</v>
      </c>
      <c r="B72" s="79">
        <f>ROUND(B66*B71,-1)</f>
        <v>0</v>
      </c>
      <c r="C72" s="53"/>
    </row>
    <row r="73" spans="1:3" ht="12.75">
      <c r="A73" s="17" t="str">
        <f>'NORTH FORK'!A62</f>
        <v>Nebraska Percent Of Allocation</v>
      </c>
      <c r="B73" s="141">
        <f>'T2'!H11</f>
        <v>0.091</v>
      </c>
      <c r="C73" s="53"/>
    </row>
    <row r="74" spans="1:3" ht="12.75">
      <c r="A74" s="17" t="str">
        <f>'NORTH FORK'!A63</f>
        <v>Nebraska Allocation</v>
      </c>
      <c r="B74" s="79">
        <f>ROUND(B66*B73,-1)</f>
        <v>4900</v>
      </c>
      <c r="C74" s="53"/>
    </row>
    <row r="75" spans="1:3" ht="12.75">
      <c r="A75" s="17" t="str">
        <f>'NORTH FORK'!A64</f>
        <v>Total Basin Allocation</v>
      </c>
      <c r="B75" s="79">
        <f>+B70+B72+B74</f>
        <v>4900</v>
      </c>
      <c r="C75" s="53"/>
    </row>
    <row r="76" spans="1:3" ht="12.75">
      <c r="A76" s="17" t="str">
        <f>'NORTH FORK'!A65</f>
        <v>Percent Of Supply Not Allocated</v>
      </c>
      <c r="B76" s="141">
        <f>'T2'!J11</f>
        <v>0.909</v>
      </c>
      <c r="C76" s="53"/>
    </row>
    <row r="77" spans="1:3" ht="12.75">
      <c r="A77" s="2" t="str">
        <f>'NORTH FORK'!A66</f>
        <v>Quantity Of Unallocated Supply</v>
      </c>
      <c r="B77" s="4">
        <f>+B66-B70-B72-B74</f>
        <v>48900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2001</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3553</v>
      </c>
    </row>
    <row r="8" spans="1:2" ht="12" customHeight="1">
      <c r="A8" s="55" t="str">
        <f>+INPUT!B33</f>
        <v>GW CBCU Nebraska</v>
      </c>
      <c r="B8" s="55">
        <f>+INPUT!C33</f>
        <v>3075</v>
      </c>
    </row>
    <row r="9" spans="1:2" ht="12.75">
      <c r="A9" s="2" t="s">
        <v>83</v>
      </c>
      <c r="B9" s="2"/>
    </row>
    <row r="10" spans="1:2" ht="12.75">
      <c r="A10" s="5" t="s">
        <v>182</v>
      </c>
      <c r="B10" s="2"/>
    </row>
    <row r="11" spans="1:2" ht="12.75">
      <c r="A11" s="55" t="str">
        <f>+INPUT!B192</f>
        <v>Beaver Creek Near Beaver City</v>
      </c>
      <c r="B11" s="55">
        <f>+INPUT!C192</f>
        <v>843.9</v>
      </c>
    </row>
    <row r="12" spans="1:2" ht="12.75">
      <c r="A12" s="55" t="str">
        <f>+INPUT!B110</f>
        <v>SW Diversions - Irrigation -Non-Federal Canals- Colorado</v>
      </c>
      <c r="B12" s="55">
        <f>+INPUT!C110</f>
        <v>0</v>
      </c>
    </row>
    <row r="13" spans="1:2" ht="12.75">
      <c r="A13" s="122" t="str">
        <f>+INPUT!B111</f>
        <v>SW Diversions - Irrigation - Small Pumps - Colorado</v>
      </c>
      <c r="B13" s="122">
        <f>+INPUT!C111</f>
        <v>0</v>
      </c>
    </row>
    <row r="14" spans="1:2" ht="12.75">
      <c r="A14" s="122" t="str">
        <f>+INPUT!B112</f>
        <v>SW Diversions - M&amp;I - Colorado</v>
      </c>
      <c r="B14" s="122">
        <f>+INPUT!C112</f>
        <v>0</v>
      </c>
    </row>
    <row r="15" spans="1:2" ht="12.75">
      <c r="A15" s="122" t="str">
        <f>+INPUT!B113</f>
        <v>SW Diversions - Irrigation - Non-Federal Canals- Kansas</v>
      </c>
      <c r="B15" s="122">
        <f>+INPUT!C113</f>
        <v>0</v>
      </c>
    </row>
    <row r="16" spans="1:2" ht="12.75">
      <c r="A16" s="122" t="str">
        <f>+INPUT!B114</f>
        <v>SW Diversions - Irrigation - Small Pumps - Kansas</v>
      </c>
      <c r="B16" s="122">
        <f>+INPUT!C114</f>
        <v>7.9</v>
      </c>
    </row>
    <row r="17" spans="1:2" ht="12.75">
      <c r="A17" s="122" t="str">
        <f>+INPUT!B115</f>
        <v>SW Diversions - M&amp;I - Kansas</v>
      </c>
      <c r="B17" s="122">
        <f>+INPUT!C115</f>
        <v>0</v>
      </c>
    </row>
    <row r="18" spans="1:2" ht="12.75">
      <c r="A18" s="122" t="str">
        <f>+INPUT!B116</f>
        <v>SW Diversions - Irrigation - Non-Federal Canals - Nebraska</v>
      </c>
      <c r="B18" s="122">
        <f>+INPUT!C116</f>
        <v>0</v>
      </c>
    </row>
    <row r="19" spans="1:2" ht="12.75">
      <c r="A19" s="122" t="str">
        <f>+INPUT!B117</f>
        <v>SW Diversions - Irrigation - Small Pumps - Nebraska</v>
      </c>
      <c r="B19" s="122">
        <f>+INPUT!C117</f>
        <v>0</v>
      </c>
    </row>
    <row r="20" spans="1:2" ht="12.75">
      <c r="A20" s="122" t="str">
        <f>+INPUT!B118</f>
        <v>SW Diversions - M&amp;I - Nebraska</v>
      </c>
      <c r="B20" s="122">
        <f>+INPUT!C118</f>
        <v>0</v>
      </c>
    </row>
    <row r="21" spans="1:3" ht="12.75">
      <c r="A21" s="116" t="str">
        <f>INPUT!B119</f>
        <v>SW Diversions - Irrigation - Non-Federal Canals - Nebraska -Below Gage</v>
      </c>
      <c r="B21" s="116">
        <f>INPUT!C119</f>
        <v>0</v>
      </c>
      <c r="C21" s="82"/>
    </row>
    <row r="22" spans="1:3" ht="12.75">
      <c r="A22" s="116" t="str">
        <f>INPUT!B120</f>
        <v>SW Diversions - Irrigation - Small Pumps -Nebraska - Below Gage</v>
      </c>
      <c r="B22" s="116">
        <f>INPUT!C120</f>
        <v>0</v>
      </c>
      <c r="C22" s="82"/>
    </row>
    <row r="23" spans="1:3" ht="12.75">
      <c r="A23" s="116" t="str">
        <f>INPUT!B121</f>
        <v>SW Diversions - M&amp;I - Nebraska - Below Gage</v>
      </c>
      <c r="B23" s="116">
        <f>INPUT!C121</f>
        <v>0</v>
      </c>
      <c r="C23" s="82"/>
    </row>
    <row r="24" spans="1:2" ht="12.75">
      <c r="A24" s="122" t="str">
        <f>+INPUT!B170</f>
        <v>Non-Federal Reservoir Evaporation - Colorado</v>
      </c>
      <c r="B24" s="122">
        <f>+INPUT!C170</f>
        <v>0</v>
      </c>
    </row>
    <row r="25" spans="1:2" ht="12.75">
      <c r="A25" s="122" t="str">
        <f>+INPUT!B171</f>
        <v>Non-Federal Reservoir Evaporation - Kansas</v>
      </c>
      <c r="B25" s="122">
        <f>+INPUT!C171</f>
        <v>0</v>
      </c>
    </row>
    <row r="26" spans="1:2" ht="12.75">
      <c r="A26" s="122" t="str">
        <f>+INPUT!B172</f>
        <v>Non-Federal Reservoir Evaporation - Nebraska</v>
      </c>
      <c r="B26" s="122">
        <f>+INPUT!C172</f>
        <v>0</v>
      </c>
    </row>
    <row r="27" spans="1:2" ht="12.75">
      <c r="A27" s="122" t="str">
        <f>+INPUT!B173</f>
        <v>Non-Federal Reservoir Evaporation - Nebraska - Below Gage</v>
      </c>
      <c r="B27" s="122">
        <f>+INPUT!C173</f>
        <v>0</v>
      </c>
    </row>
    <row r="28" spans="1:2" ht="12.75">
      <c r="A28" s="122" t="str">
        <f>+INPUT!B209</f>
        <v>Beaver Flood Flow</v>
      </c>
      <c r="B28" s="122">
        <f>+INPUT!C209</f>
        <v>0</v>
      </c>
    </row>
    <row r="29" spans="1:2" ht="12.75">
      <c r="A29" s="137"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9">
        <f>B32+B33+B34+B35</f>
        <v>0</v>
      </c>
      <c r="C36" s="76"/>
    </row>
    <row r="37" spans="1:2" ht="12.75">
      <c r="A37" s="17" t="str">
        <f>'NORTH FORK'!A28</f>
        <v>GW CBCU</v>
      </c>
      <c r="B37" s="17">
        <f>+B6</f>
        <v>0</v>
      </c>
    </row>
    <row r="38" spans="1:2" ht="12.75">
      <c r="A38" s="17" t="str">
        <f>'NORTH FORK'!A29</f>
        <v>Total CBCU</v>
      </c>
      <c r="B38" s="79">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5.925000000000001</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9">
        <f>B41+B42+B43+B44</f>
        <v>5.925000000000001</v>
      </c>
      <c r="C45" s="76"/>
    </row>
    <row r="46" spans="1:2" ht="12.75">
      <c r="A46" s="17" t="str">
        <f>'NORTH FORK'!A28</f>
        <v>GW CBCU</v>
      </c>
      <c r="B46" s="17">
        <f>+B7</f>
        <v>3553</v>
      </c>
    </row>
    <row r="47" spans="1:2" ht="12.75">
      <c r="A47" s="17" t="str">
        <f>'NORTH FORK'!A29</f>
        <v>Total CBCU</v>
      </c>
      <c r="B47" s="79">
        <f>(ROUND(SUM(B45:B46),-1))</f>
        <v>3560</v>
      </c>
    </row>
    <row r="48" spans="1:2" ht="12.75">
      <c r="A48" s="17" t="s">
        <v>83</v>
      </c>
      <c r="B48" s="17"/>
    </row>
    <row r="49" spans="1:2" ht="12.75">
      <c r="A49" s="8" t="s">
        <v>1</v>
      </c>
      <c r="B49" s="17"/>
    </row>
    <row r="50" spans="1:2" ht="12.75">
      <c r="A50" s="17" t="str">
        <f>'NORTH FORK'!A23</f>
        <v>SW CBCU - Irrigation - Non Federal Canals</v>
      </c>
      <c r="B50" s="79">
        <f>B18*CanalCUPercent</f>
        <v>0</v>
      </c>
    </row>
    <row r="51" spans="1:2" ht="12.75">
      <c r="A51" s="17" t="str">
        <f>'NORTH FORK'!A24</f>
        <v>SW CBCU - Irrigation - Small Pumps</v>
      </c>
      <c r="B51" s="79">
        <f>B19*PumperCUPercent</f>
        <v>0</v>
      </c>
    </row>
    <row r="52" spans="1:2" ht="12.75">
      <c r="A52" s="17" t="str">
        <f>'NORTH FORK'!A25</f>
        <v>SW CBCU - M&amp;I</v>
      </c>
      <c r="B52" s="17">
        <f>B20*MI_CUPercent</f>
        <v>0</v>
      </c>
    </row>
    <row r="53" spans="1:3" ht="12.75">
      <c r="A53" s="116" t="str">
        <f>'MEDICINE CREEK'!A37</f>
        <v>SW CBCU - Irrigation - Non Federal Canals - Below Gage</v>
      </c>
      <c r="B53" s="138">
        <f>B21*CanalCUPercent</f>
        <v>0</v>
      </c>
      <c r="C53" s="82"/>
    </row>
    <row r="54" spans="1:3" ht="12.75">
      <c r="A54" s="116" t="str">
        <f>'MEDICINE CREEK'!A38</f>
        <v>SW CBCU - Irrigation - Small Pumps - Below Gage</v>
      </c>
      <c r="B54" s="138">
        <f>B22*PumperCUPercent</f>
        <v>0</v>
      </c>
      <c r="C54" s="82"/>
    </row>
    <row r="55" spans="1:3" ht="12.75">
      <c r="A55" s="116" t="str">
        <f>'MEDICINE CREEK'!A39</f>
        <v>SW CBCU - M&amp;I - Below Gage</v>
      </c>
      <c r="B55" s="138">
        <f>B23*MI_CUPercent</f>
        <v>0</v>
      </c>
      <c r="C55" s="82"/>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9">
        <f>B50+B51+B52+B53+B54+B55+B56+B57</f>
        <v>0</v>
      </c>
      <c r="C58" s="76"/>
    </row>
    <row r="59" spans="1:2" ht="12.75">
      <c r="A59" s="17" t="str">
        <f>'NORTH FORK'!A28</f>
        <v>GW CBCU</v>
      </c>
      <c r="B59" s="17">
        <f>+B8</f>
        <v>3075</v>
      </c>
    </row>
    <row r="60" spans="1:2" ht="12.75">
      <c r="A60" s="17" t="str">
        <f>'NORTH FORK'!A29</f>
        <v>Total CBCU</v>
      </c>
      <c r="B60" s="79">
        <f>(ROUND(SUM(B58:B59),-1))</f>
        <v>3080</v>
      </c>
    </row>
    <row r="61" spans="1:2" ht="12.75">
      <c r="A61" s="116" t="s">
        <v>83</v>
      </c>
      <c r="B61" s="17"/>
    </row>
    <row r="62" spans="1:2" ht="12.75">
      <c r="A62" s="52" t="s">
        <v>415</v>
      </c>
      <c r="B62" s="17"/>
    </row>
    <row r="63" spans="1:2" ht="12.75">
      <c r="A63" s="17" t="s">
        <v>250</v>
      </c>
      <c r="B63" s="79">
        <f>SUM(B53:B55)+B57</f>
        <v>0</v>
      </c>
    </row>
    <row r="64" spans="1:2" ht="12.75">
      <c r="A64" s="116" t="s">
        <v>416</v>
      </c>
      <c r="B64" s="79">
        <f>B63</f>
        <v>0</v>
      </c>
    </row>
    <row r="65" spans="1:2" ht="12.75">
      <c r="A65" s="116"/>
      <c r="B65" s="17"/>
    </row>
    <row r="66" spans="1:2" ht="12.75">
      <c r="A66" s="5" t="s">
        <v>184</v>
      </c>
      <c r="B66" s="17"/>
    </row>
    <row r="67" spans="1:2" ht="12.75">
      <c r="A67" s="116" t="str">
        <f>'NORTH FORK'!A42</f>
        <v>Total SW CBCU</v>
      </c>
      <c r="B67" s="79">
        <f>+B45+B58+B36</f>
        <v>5.925000000000001</v>
      </c>
    </row>
    <row r="68" spans="1:2" ht="12.75">
      <c r="A68" s="116" t="str">
        <f>'NORTH FORK'!A43</f>
        <v>Total GW CBCU</v>
      </c>
      <c r="B68" s="79">
        <f>+B37+B46+B59</f>
        <v>6628</v>
      </c>
    </row>
    <row r="69" spans="1:2" ht="12.75">
      <c r="A69" s="116" t="str">
        <f>'NORTH FORK'!A44</f>
        <v>Total Basin CBCU</v>
      </c>
      <c r="B69" s="79">
        <f>(ROUND(SUM(B67:B68),-1))</f>
        <v>6630</v>
      </c>
    </row>
    <row r="70" spans="1:2" ht="12.75">
      <c r="A70" s="116" t="s">
        <v>83</v>
      </c>
      <c r="B70" s="17"/>
    </row>
    <row r="71" spans="1:2" ht="15.75">
      <c r="A71" s="11" t="s">
        <v>10</v>
      </c>
      <c r="B71" s="17"/>
    </row>
    <row r="72" spans="1:2" ht="12.75">
      <c r="A72" s="79" t="str">
        <f>A11</f>
        <v>Beaver Creek Near Beaver City</v>
      </c>
      <c r="B72" s="79">
        <f>B11</f>
        <v>843.9</v>
      </c>
    </row>
    <row r="73" spans="1:2" ht="12.75">
      <c r="A73" s="17" t="str">
        <f>'NORTH FORK'!A49</f>
        <v>Colorado CBCU</v>
      </c>
      <c r="B73" s="79">
        <f>+B38</f>
        <v>0</v>
      </c>
    </row>
    <row r="74" spans="1:2" ht="12.75">
      <c r="A74" s="17" t="str">
        <f>'NORTH FORK'!A50</f>
        <v>Kansas CBCU</v>
      </c>
      <c r="B74" s="79">
        <f>+B47</f>
        <v>3560</v>
      </c>
    </row>
    <row r="75" spans="1:2" ht="12.75">
      <c r="A75" s="17" t="str">
        <f>'NORTH FORK'!A51</f>
        <v>Nebraska CBCU</v>
      </c>
      <c r="B75" s="79">
        <f>+B60</f>
        <v>3080</v>
      </c>
    </row>
    <row r="76" spans="1:2" ht="12.75">
      <c r="A76" s="17" t="s">
        <v>250</v>
      </c>
      <c r="B76" s="79">
        <f>B63</f>
        <v>0</v>
      </c>
    </row>
    <row r="77" spans="1:3" ht="12.75">
      <c r="A77" s="17" t="str">
        <f>'NORTH FORK'!A52</f>
        <v>Imported Water</v>
      </c>
      <c r="B77" s="17">
        <f>B5</f>
        <v>0</v>
      </c>
      <c r="C77" s="76"/>
    </row>
    <row r="78" spans="1:3" ht="12.75">
      <c r="A78" s="17" t="str">
        <f>'NORTH FORK'!A53</f>
        <v>Virgin Water Supply</v>
      </c>
      <c r="B78" s="79">
        <f>ROUND(SUM(B72:B75)-B77-B76,-1)</f>
        <v>7480</v>
      </c>
      <c r="C78" s="76"/>
    </row>
    <row r="79" spans="1:2" ht="12.75">
      <c r="A79" s="17" t="str">
        <f>'NORTH FORK'!A54</f>
        <v>Adjustment For Flood Flows</v>
      </c>
      <c r="B79" s="17">
        <f>B28</f>
        <v>0</v>
      </c>
    </row>
    <row r="80" spans="1:2" ht="12.75">
      <c r="A80" s="17" t="str">
        <f>'NORTH FORK'!A55</f>
        <v>Computed Water Supply</v>
      </c>
      <c r="B80" s="79">
        <f>+ROUND(B78-B79,-1)</f>
        <v>7480</v>
      </c>
    </row>
    <row r="81" spans="1:2" ht="12.75">
      <c r="A81" s="116" t="s">
        <v>83</v>
      </c>
      <c r="B81" s="17"/>
    </row>
    <row r="82" spans="1:2" ht="15.75">
      <c r="A82" s="11" t="s">
        <v>12</v>
      </c>
      <c r="B82" s="13"/>
    </row>
    <row r="83" spans="1:2" ht="12.75">
      <c r="A83" s="17" t="str">
        <f>'NORTH FORK'!A58</f>
        <v>Colorado Percent Of Allocation</v>
      </c>
      <c r="B83" s="141">
        <f>'T2'!D12</f>
        <v>0.2</v>
      </c>
    </row>
    <row r="84" spans="1:2" ht="12.75">
      <c r="A84" s="17" t="str">
        <f>'NORTH FORK'!A59</f>
        <v>Colorado Allocation</v>
      </c>
      <c r="B84" s="79">
        <f>ROUND(+B80*B83,-1)</f>
        <v>1500</v>
      </c>
    </row>
    <row r="85" spans="1:2" ht="12.75">
      <c r="A85" s="17" t="str">
        <f>'NORTH FORK'!A60</f>
        <v>Kansas Percent Of Allocation</v>
      </c>
      <c r="B85" s="141">
        <f>'T2'!F12</f>
        <v>0.388</v>
      </c>
    </row>
    <row r="86" spans="1:2" ht="12.75">
      <c r="A86" s="17" t="str">
        <f>'NORTH FORK'!A61</f>
        <v>Kansas Allocation</v>
      </c>
      <c r="B86" s="79">
        <f>ROUND(B80*B85,-1)</f>
        <v>2900</v>
      </c>
    </row>
    <row r="87" spans="1:2" ht="12.75">
      <c r="A87" s="17" t="str">
        <f>'NORTH FORK'!A62</f>
        <v>Nebraska Percent Of Allocation</v>
      </c>
      <c r="B87" s="141">
        <f>'T2'!H12</f>
        <v>0.406</v>
      </c>
    </row>
    <row r="88" spans="1:2" ht="12.75">
      <c r="A88" s="2" t="str">
        <f>'NORTH FORK'!A63</f>
        <v>Nebraska Allocation</v>
      </c>
      <c r="B88" s="4">
        <f>ROUND(B80*B87,-1)</f>
        <v>3040</v>
      </c>
    </row>
    <row r="89" spans="1:2" ht="12.75">
      <c r="A89" s="2" t="str">
        <f>'NORTH FORK'!A64</f>
        <v>Total Basin Allocation</v>
      </c>
      <c r="B89" s="4">
        <f>+B84+B86+B88</f>
        <v>7440</v>
      </c>
    </row>
    <row r="90" spans="1:2" ht="12.75">
      <c r="A90" s="2" t="s">
        <v>192</v>
      </c>
      <c r="B90" s="16">
        <f>'T2'!J12</f>
        <v>0.006</v>
      </c>
    </row>
    <row r="91" spans="1:2" ht="12.75">
      <c r="A91" s="2" t="str">
        <f>'NORTH FORK'!A66</f>
        <v>Quantity Of Unallocated Supply</v>
      </c>
      <c r="B91" s="4">
        <f>+B80-B84-B86-B88</f>
        <v>40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2001</v>
      </c>
    </row>
    <row r="2" spans="1:4" ht="12.75">
      <c r="D2" s="14"/>
    </row>
    <row r="3" spans="1:4" ht="15.75">
      <c r="A3" s="10" t="s">
        <v>179</v>
      </c>
      <c r="D3" s="1"/>
    </row>
    <row r="4" spans="1:4" ht="12.75">
      <c r="A4" s="8" t="s">
        <v>180</v>
      </c>
      <c r="C4" s="1"/>
      <c r="D4" s="1"/>
    </row>
    <row r="5" spans="1:3" ht="12.75">
      <c r="A5" s="55" t="str">
        <f>+INPUT!B56</f>
        <v>Imported Water Nebraska</v>
      </c>
      <c r="B5" s="55">
        <f>+INPUT!C56</f>
        <v>0</v>
      </c>
      <c r="C5" s="1"/>
    </row>
    <row r="6" spans="1:3" ht="12.75">
      <c r="A6" s="55" t="str">
        <f>+INPUT!B34</f>
        <v>GW CBCU Colorado</v>
      </c>
      <c r="B6" s="55">
        <f>+INPUT!C34</f>
        <v>0</v>
      </c>
      <c r="C6" s="1"/>
    </row>
    <row r="7" spans="1:2" ht="12.75">
      <c r="A7" s="55" t="str">
        <f>+INPUT!B35</f>
        <v>GW CBCU Kansas</v>
      </c>
      <c r="B7" s="55">
        <f>+INPUT!C35</f>
        <v>-970</v>
      </c>
    </row>
    <row r="8" spans="1:2" ht="12" customHeight="1">
      <c r="A8" s="55" t="str">
        <f>+INPUT!B36</f>
        <v>GW CBCU Nebraska</v>
      </c>
      <c r="B8" s="55">
        <f>+INPUT!C36</f>
        <v>873</v>
      </c>
    </row>
    <row r="9" spans="1:2" ht="12.75">
      <c r="A9" s="2"/>
      <c r="B9" s="2"/>
    </row>
    <row r="10" spans="1:2" ht="12.75">
      <c r="A10" s="5" t="s">
        <v>182</v>
      </c>
      <c r="B10" s="2"/>
    </row>
    <row r="11" spans="1:2" ht="12.75">
      <c r="A11" s="55" t="str">
        <f>+INPUT!B193</f>
        <v>Sappa Creek Near Stamford</v>
      </c>
      <c r="B11" s="55">
        <f>+INPUT!C193</f>
        <v>7218.88</v>
      </c>
    </row>
    <row r="12" spans="1:2" ht="12.75">
      <c r="A12" s="55" t="str">
        <f>+INPUT!B192</f>
        <v>Beaver Creek Near Beaver City</v>
      </c>
      <c r="B12" s="55">
        <f>+INPUT!C192</f>
        <v>843.9</v>
      </c>
    </row>
    <row r="13" spans="1:2" ht="12.75">
      <c r="A13" s="122" t="str">
        <f>+INPUT!B122</f>
        <v>SW Diversions - Irrigation - Non-Federal Canals- Kansas</v>
      </c>
      <c r="B13" s="122">
        <f>+INPUT!C122</f>
        <v>0</v>
      </c>
    </row>
    <row r="14" spans="1:2" ht="12.75">
      <c r="A14" s="122" t="str">
        <f>+INPUT!B123</f>
        <v>SW Diversions - Irrigation - Small Pumps - Kansas</v>
      </c>
      <c r="B14" s="122">
        <f>+INPUT!C123</f>
        <v>108.2</v>
      </c>
    </row>
    <row r="15" spans="1:2" ht="12.75">
      <c r="A15" s="122" t="str">
        <f>+INPUT!B124</f>
        <v>SW Diversions - M&amp;I - Kansas</v>
      </c>
      <c r="B15" s="122">
        <f>+INPUT!C124</f>
        <v>0</v>
      </c>
    </row>
    <row r="16" spans="1:2" ht="12.75">
      <c r="A16" s="122" t="str">
        <f>+INPUT!B125</f>
        <v>SW Diversions - Irrigation - Non-Federal Canals - Nebraska</v>
      </c>
      <c r="B16" s="122">
        <f>+INPUT!C125</f>
        <v>0</v>
      </c>
    </row>
    <row r="17" spans="1:2" ht="12.75">
      <c r="A17" s="122" t="str">
        <f>+INPUT!B126</f>
        <v>SW Diversions - Irrigation - Small Pumps - Nebraska</v>
      </c>
      <c r="B17" s="122">
        <f>+INPUT!C126</f>
        <v>487.53</v>
      </c>
    </row>
    <row r="18" spans="1:2" ht="12.75">
      <c r="A18" s="122" t="str">
        <f>+INPUT!B127</f>
        <v>SW Diversions - M&amp;I - Nebraska</v>
      </c>
      <c r="B18" s="122">
        <f>+INPUT!C127</f>
        <v>0</v>
      </c>
    </row>
    <row r="19" spans="1:2" ht="12.75">
      <c r="A19" s="122" t="str">
        <f>+INPUT!B128</f>
        <v>SW Diversions - Irrigation - Non-Federal Canals - Nebraska -Below Gage</v>
      </c>
      <c r="B19" s="122">
        <f>+INPUT!C128</f>
        <v>0</v>
      </c>
    </row>
    <row r="20" spans="1:2" ht="12.75">
      <c r="A20" s="122" t="str">
        <f>+INPUT!B129</f>
        <v>SW Diversions - Irrigation - Small Pumps -Nebraska - Below Gage</v>
      </c>
      <c r="B20" s="122">
        <f>+INPUT!C129</f>
        <v>99.6</v>
      </c>
    </row>
    <row r="21" spans="1:2" ht="12.75">
      <c r="A21" s="122" t="str">
        <f>+INPUT!B130</f>
        <v>SW Diversions - M&amp;I - Nebraska - Below Gage</v>
      </c>
      <c r="B21" s="122">
        <f>+INPUT!C130</f>
        <v>0</v>
      </c>
    </row>
    <row r="22" spans="1:2" ht="12.75">
      <c r="A22" s="122" t="str">
        <f>+INPUT!B174</f>
        <v>Non-Federal Reservoir Evaporation - Kansas</v>
      </c>
      <c r="B22" s="122">
        <f>+INPUT!C174</f>
        <v>0</v>
      </c>
    </row>
    <row r="23" spans="1:2" ht="12.75">
      <c r="A23" s="122" t="str">
        <f>+INPUT!B175</f>
        <v>Non-Federal Reservoir Evaporation - Nebraska</v>
      </c>
      <c r="B23" s="122">
        <f>+INPUT!C175</f>
        <v>0</v>
      </c>
    </row>
    <row r="24" spans="1:2" ht="12.75">
      <c r="A24" s="122" t="str">
        <f>+INPUT!B176</f>
        <v>Non-Federal Reservoir Evaporation - Nebraska - Below Gage</v>
      </c>
      <c r="B24" s="122">
        <f>+INPUT!C176</f>
        <v>0</v>
      </c>
    </row>
    <row r="25" spans="1:2" ht="12.75">
      <c r="A25" s="122" t="str">
        <f>+INPUT!B210</f>
        <v>Sappa Flood Flow</v>
      </c>
      <c r="B25" s="122">
        <f>+INPUT!C210</f>
        <v>0</v>
      </c>
    </row>
    <row r="26" spans="1:2" ht="12.75">
      <c r="A26" s="137"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9">
        <f>(ROUND(SUM(B29:B29),-1))</f>
        <v>0</v>
      </c>
    </row>
    <row r="31" spans="1:2" ht="12.75">
      <c r="A31" s="17" t="s">
        <v>83</v>
      </c>
      <c r="B31" s="17"/>
    </row>
    <row r="32" spans="1:2" ht="12.75">
      <c r="A32" s="8" t="s">
        <v>183</v>
      </c>
      <c r="B32" s="17"/>
    </row>
    <row r="33" spans="1:3" ht="12.75">
      <c r="A33" s="12" t="str">
        <f>'NORTH FORK'!A23</f>
        <v>SW CBCU - Irrigation - Non Federal Canals</v>
      </c>
      <c r="B33" s="116">
        <f>+B13*CanalCUPercent</f>
        <v>0</v>
      </c>
      <c r="C33" s="19"/>
    </row>
    <row r="34" spans="1:3" ht="12.75">
      <c r="A34" s="12" t="str">
        <f>'NORTH FORK'!A24</f>
        <v>SW CBCU - Irrigation - Small Pumps</v>
      </c>
      <c r="B34" s="116">
        <f>+B14*PumperCUPercent</f>
        <v>81.15</v>
      </c>
      <c r="C34" s="19"/>
    </row>
    <row r="35" spans="1:3" ht="12.75">
      <c r="A35" s="12" t="str">
        <f>'NORTH FORK'!A25</f>
        <v>SW CBCU - M&amp;I</v>
      </c>
      <c r="B35" s="116">
        <f>+B15*MI_CUPercent</f>
        <v>0</v>
      </c>
      <c r="C35" s="19"/>
    </row>
    <row r="36" spans="1:2" ht="12.75">
      <c r="A36" s="12" t="str">
        <f>'NORTH FORK'!A26</f>
        <v>Non-Federal Reservoir Evaporation</v>
      </c>
      <c r="B36" s="17">
        <f>B22</f>
        <v>0</v>
      </c>
    </row>
    <row r="37" spans="1:3" ht="12.75">
      <c r="A37" s="12" t="str">
        <f>'NORTH FORK'!A27</f>
        <v>SW CBCU</v>
      </c>
      <c r="B37" s="79">
        <f>B33+B34+B35+B36</f>
        <v>81.15</v>
      </c>
      <c r="C37" s="76"/>
    </row>
    <row r="38" spans="1:2" ht="12.75">
      <c r="A38" s="12" t="str">
        <f>'NORTH FORK'!A28</f>
        <v>GW CBCU</v>
      </c>
      <c r="B38" s="17">
        <f>+B7</f>
        <v>-970</v>
      </c>
    </row>
    <row r="39" spans="1:2" ht="12.75">
      <c r="A39" s="12" t="str">
        <f>'NORTH FORK'!A29</f>
        <v>Total CBCU</v>
      </c>
      <c r="B39" s="79">
        <f>(ROUND(SUM(B37:B38),-1))</f>
        <v>-890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9">
        <f>B16*CanalCUPercent</f>
        <v>0</v>
      </c>
    </row>
    <row r="44" spans="1:2" ht="12.75">
      <c r="A44" s="17" t="str">
        <f>'MEDICINE CREEK'!A35</f>
        <v>SW CBCU - Irrigation - Small Pumps</v>
      </c>
      <c r="B44" s="79">
        <f>B17*PumperCUPercent</f>
        <v>365.6475</v>
      </c>
    </row>
    <row r="45" spans="1:2" ht="12.75">
      <c r="A45" s="17" t="str">
        <f>'MEDICINE CREEK'!A36</f>
        <v>SW CBCU - M&amp;I</v>
      </c>
      <c r="B45" s="79">
        <f>B18*MI_CUPercent</f>
        <v>0</v>
      </c>
    </row>
    <row r="46" spans="1:2" ht="12.75">
      <c r="A46" s="17" t="str">
        <f>'MEDICINE CREEK'!A37</f>
        <v>SW CBCU - Irrigation - Non Federal Canals - Below Gage</v>
      </c>
      <c r="B46" s="138">
        <f>B19*CanalCUPercent</f>
        <v>0</v>
      </c>
    </row>
    <row r="47" spans="1:2" ht="12.75">
      <c r="A47" s="17" t="str">
        <f>'MEDICINE CREEK'!A38</f>
        <v>SW CBCU - Irrigation - Small Pumps - Below Gage</v>
      </c>
      <c r="B47" s="138">
        <f>B20*PumperCUPercent</f>
        <v>74.69999999999999</v>
      </c>
    </row>
    <row r="48" spans="1:2" ht="12.75">
      <c r="A48" s="17" t="str">
        <f>'MEDICINE CREEK'!A39</f>
        <v>SW CBCU - M&amp;I - Below Gage</v>
      </c>
      <c r="B48" s="138">
        <f>B21*MI_CUPercent</f>
        <v>0</v>
      </c>
    </row>
    <row r="49" spans="1:2" ht="12.75">
      <c r="A49" s="116" t="str">
        <f>'MEDICINE CREEK'!A40</f>
        <v>Non-Federal Reservoir Evaporation</v>
      </c>
      <c r="B49" s="116">
        <f>B23</f>
        <v>0</v>
      </c>
    </row>
    <row r="50" spans="1:2" ht="12.75">
      <c r="A50" s="116" t="str">
        <f>'MEDICINE CREEK'!A41</f>
        <v>Non-Federal Reservoir Evaporation - Below gage</v>
      </c>
      <c r="B50" s="116">
        <f>B24</f>
        <v>0</v>
      </c>
    </row>
    <row r="51" spans="1:3" ht="12.75">
      <c r="A51" s="17" t="str">
        <f>'MEDICINE CREEK'!A42</f>
        <v>SW CBCU</v>
      </c>
      <c r="B51" s="138">
        <f>B43+B44+B45+B46+B47+B48+B49</f>
        <v>440.34749999999997</v>
      </c>
      <c r="C51" s="76"/>
    </row>
    <row r="52" spans="1:3" ht="12.75">
      <c r="A52" s="17" t="str">
        <f>'MEDICINE CREEK'!A43</f>
        <v>GW CBCU</v>
      </c>
      <c r="B52" s="138">
        <f>+B8</f>
        <v>873</v>
      </c>
      <c r="C52" s="76"/>
    </row>
    <row r="53" spans="1:2" ht="12.75">
      <c r="A53" s="17" t="str">
        <f>'MEDICINE CREEK'!A44</f>
        <v>Total CBCU</v>
      </c>
      <c r="B53" s="79">
        <f>(ROUND(SUM(B51:B52),-1))</f>
        <v>1310</v>
      </c>
    </row>
    <row r="54" spans="1:2" ht="12.75">
      <c r="A54" s="116" t="s">
        <v>83</v>
      </c>
      <c r="B54" s="17"/>
    </row>
    <row r="55" spans="1:2" ht="12.75">
      <c r="A55" s="52" t="s">
        <v>415</v>
      </c>
      <c r="B55" s="17"/>
    </row>
    <row r="56" spans="1:2" ht="12.75">
      <c r="A56" s="17" t="s">
        <v>250</v>
      </c>
      <c r="B56" s="79">
        <f>B46+B47+B48+B50</f>
        <v>74.69999999999999</v>
      </c>
    </row>
    <row r="57" spans="1:2" ht="12.75">
      <c r="A57" s="116" t="str">
        <f>'MEDICINE CREEK'!A53</f>
        <v>Total</v>
      </c>
      <c r="B57" s="79">
        <f>B56</f>
        <v>74.69999999999999</v>
      </c>
    </row>
    <row r="58" spans="1:2" ht="12.75">
      <c r="A58" s="116" t="s">
        <v>83</v>
      </c>
      <c r="B58" s="17"/>
    </row>
    <row r="59" spans="1:2" ht="12.75">
      <c r="A59" s="5" t="s">
        <v>184</v>
      </c>
      <c r="B59" s="17"/>
    </row>
    <row r="60" spans="1:2" ht="12.75">
      <c r="A60" s="116" t="str">
        <f>'NORTH FORK'!A42</f>
        <v>Total SW CBCU</v>
      </c>
      <c r="B60" s="79">
        <f>+B37+B51</f>
        <v>521.4975</v>
      </c>
    </row>
    <row r="61" spans="1:2" ht="12.75">
      <c r="A61" s="116" t="str">
        <f>'NORTH FORK'!A43</f>
        <v>Total GW CBCU</v>
      </c>
      <c r="B61" s="79">
        <f>+B29+B38+B52</f>
        <v>-97</v>
      </c>
    </row>
    <row r="62" spans="1:2" ht="12.75">
      <c r="A62" s="116" t="str">
        <f>'NORTH FORK'!A44</f>
        <v>Total Basin CBCU</v>
      </c>
      <c r="B62" s="79">
        <f>SUM(B60:B61)</f>
        <v>424.49749999999995</v>
      </c>
    </row>
    <row r="63" spans="1:2" ht="12.75">
      <c r="A63" s="116" t="s">
        <v>83</v>
      </c>
      <c r="B63" s="17"/>
    </row>
    <row r="64" spans="1:2" ht="15.75">
      <c r="A64" s="11" t="s">
        <v>10</v>
      </c>
      <c r="B64" s="17"/>
    </row>
    <row r="65" spans="1:2" ht="12.75">
      <c r="A65" s="79" t="str">
        <f>A11</f>
        <v>Sappa Creek Near Stamford</v>
      </c>
      <c r="B65" s="79">
        <f>B11</f>
        <v>7218.88</v>
      </c>
    </row>
    <row r="66" spans="1:2" ht="12.75">
      <c r="A66" s="79" t="str">
        <f>A12</f>
        <v>Beaver Creek Near Beaver City</v>
      </c>
      <c r="B66" s="79">
        <f>B12</f>
        <v>843.9</v>
      </c>
    </row>
    <row r="67" spans="1:2" ht="12.75">
      <c r="A67" s="17" t="str">
        <f>'NORTH FORK'!A49</f>
        <v>Colorado CBCU</v>
      </c>
      <c r="B67" s="79">
        <f>+B30</f>
        <v>0</v>
      </c>
    </row>
    <row r="68" spans="1:2" ht="12.75">
      <c r="A68" s="17" t="str">
        <f>'NORTH FORK'!A50</f>
        <v>Kansas CBCU</v>
      </c>
      <c r="B68" s="79">
        <f>+B39</f>
        <v>-890</v>
      </c>
    </row>
    <row r="69" spans="1:2" ht="12.75">
      <c r="A69" s="17" t="str">
        <f>'NORTH FORK'!A51</f>
        <v>Nebraska CBCU</v>
      </c>
      <c r="B69" s="79">
        <f>B53</f>
        <v>1310</v>
      </c>
    </row>
    <row r="70" spans="1:2" ht="12.75">
      <c r="A70" s="17" t="str">
        <f>A56</f>
        <v>SW CBCU Below The Gage</v>
      </c>
      <c r="B70" s="79">
        <f>B57</f>
        <v>74.69999999999999</v>
      </c>
    </row>
    <row r="71" spans="1:3" ht="12.75">
      <c r="A71" s="17" t="str">
        <f>'NORTH FORK'!A52</f>
        <v>Imported Water</v>
      </c>
      <c r="B71" s="17">
        <f>+B5</f>
        <v>0</v>
      </c>
      <c r="C71" s="76"/>
    </row>
    <row r="72" spans="1:3" ht="12.75">
      <c r="A72" s="17" t="str">
        <f>'NORTH FORK'!A53</f>
        <v>Virgin Water Supply</v>
      </c>
      <c r="B72" s="138">
        <f>ROUND(B65-B66+B67+B68+B69-B70-B71,-1)</f>
        <v>6720</v>
      </c>
      <c r="C72" s="181"/>
    </row>
    <row r="73" spans="1:2" ht="12.75">
      <c r="A73" s="17" t="str">
        <f>'NORTH FORK'!A54</f>
        <v>Adjustment For Flood Flows</v>
      </c>
      <c r="B73" s="17">
        <f>B25</f>
        <v>0</v>
      </c>
    </row>
    <row r="74" spans="1:2" ht="12.75">
      <c r="A74" s="2" t="str">
        <f>'NORTH FORK'!A55</f>
        <v>Computed Water Supply</v>
      </c>
      <c r="B74" s="4">
        <f>+ROUND(B72-B73,-1)</f>
        <v>6720</v>
      </c>
    </row>
    <row r="75" spans="1:2" ht="12.75">
      <c r="A75" s="9" t="s">
        <v>83</v>
      </c>
      <c r="B75" s="2"/>
    </row>
    <row r="76" spans="1:2" ht="15.75">
      <c r="A76" s="11" t="s">
        <v>12</v>
      </c>
      <c r="B76" s="13"/>
    </row>
    <row r="77" spans="1:2" ht="12.75">
      <c r="A77" s="2" t="str">
        <f>'NORTH FORK'!A58</f>
        <v>Colorado Percent Of Allocation</v>
      </c>
      <c r="B77" s="78">
        <f>'T2'!D13</f>
        <v>0</v>
      </c>
    </row>
    <row r="78" spans="1:2" ht="12.75">
      <c r="A78" s="2" t="str">
        <f>'NORTH FORK'!A59</f>
        <v>Colorado Allocation</v>
      </c>
      <c r="B78" s="32">
        <f>ROUND(+B74*B77,-1)</f>
        <v>0</v>
      </c>
    </row>
    <row r="79" spans="1:2" ht="12.75">
      <c r="A79" s="2" t="str">
        <f>'NORTH FORK'!A60</f>
        <v>Kansas Percent Of Allocation</v>
      </c>
      <c r="B79" s="78">
        <f>'T2'!F13</f>
        <v>0.411</v>
      </c>
    </row>
    <row r="80" spans="1:2" ht="12.75">
      <c r="A80" s="2" t="str">
        <f>'NORTH FORK'!A61</f>
        <v>Kansas Allocation</v>
      </c>
      <c r="B80" s="32">
        <f>ROUND(B74*B79,-1)</f>
        <v>2760</v>
      </c>
    </row>
    <row r="81" spans="1:2" ht="12.75">
      <c r="A81" s="2" t="str">
        <f>'NORTH FORK'!A62</f>
        <v>Nebraska Percent Of Allocation</v>
      </c>
      <c r="B81" s="78">
        <f>'T2'!H13</f>
        <v>0.411</v>
      </c>
    </row>
    <row r="82" spans="1:2" ht="12.75">
      <c r="A82" s="2" t="str">
        <f>'NORTH FORK'!A63</f>
        <v>Nebraska Allocation</v>
      </c>
      <c r="B82" s="32">
        <f>ROUND(B74*B81,-1)</f>
        <v>2760</v>
      </c>
    </row>
    <row r="83" spans="1:2" ht="12.75">
      <c r="A83" s="2" t="str">
        <f>'NORTH FORK'!A64</f>
        <v>Total Basin Allocation</v>
      </c>
      <c r="B83" s="32">
        <f>+B78+B80+B82</f>
        <v>5520</v>
      </c>
    </row>
    <row r="84" spans="1:2" ht="12.75">
      <c r="A84" s="2" t="str">
        <f>'NORTH FORK'!A65</f>
        <v>Percent Of Supply Not Allocated</v>
      </c>
      <c r="B84" s="78">
        <f>'T2'!J13</f>
        <v>0.178</v>
      </c>
    </row>
    <row r="85" spans="1:2" ht="12.75">
      <c r="A85" s="2" t="str">
        <f>'NORTH FORK'!A66</f>
        <v>Quantity Of Unallocated Supply</v>
      </c>
      <c r="B85" s="4">
        <f>+B74-B78-B80-B82</f>
        <v>1200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2" t="s">
        <v>223</v>
      </c>
      <c r="B1">
        <f>INPUT!C1</f>
        <v>2001</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3406</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0.6109392971246006</v>
      </c>
    </row>
    <row r="12" spans="1:2" ht="12.75">
      <c r="A12" s="2" t="s">
        <v>83</v>
      </c>
      <c r="B12" s="2"/>
    </row>
    <row r="13" spans="1:2" ht="12.75">
      <c r="A13" s="5" t="s">
        <v>182</v>
      </c>
      <c r="B13" s="2"/>
    </row>
    <row r="14" spans="1:2" ht="12.75">
      <c r="A14" s="55" t="str">
        <f>+INPUT!B194</f>
        <v>Prairie Dog Creek Near Woodruff</v>
      </c>
      <c r="B14" s="55">
        <f>+INPUT!C194</f>
        <v>9916.39</v>
      </c>
    </row>
    <row r="15" spans="1:2" ht="12.75">
      <c r="A15" s="55" t="str">
        <f>+INPUT!B223</f>
        <v>Keith Sebelius Lake Evaporation</v>
      </c>
      <c r="B15" s="55">
        <f>+INPUT!C223</f>
        <v>3115.1</v>
      </c>
    </row>
    <row r="16" spans="1:2" ht="12.75">
      <c r="A16" s="55" t="str">
        <f>+INPUT!B224</f>
        <v>Keith Sebelius Lake Change In Storage</v>
      </c>
      <c r="B16" s="55">
        <f>+INPUT!C224</f>
        <v>-800</v>
      </c>
    </row>
    <row r="17" spans="1:2" ht="12.75">
      <c r="A17" s="142" t="str">
        <f>+INPUT!B246</f>
        <v>Almena Canal Diversions</v>
      </c>
      <c r="B17" s="142">
        <f>+INPUT!C246</f>
        <v>5321</v>
      </c>
    </row>
    <row r="18" spans="1:2" ht="12.75">
      <c r="A18" s="142" t="str">
        <f>+INPUT!B131</f>
        <v>SW Diversions - Irrigation - Non-Federal Canals- Kansas</v>
      </c>
      <c r="B18" s="142">
        <f>+INPUT!C131</f>
        <v>0</v>
      </c>
    </row>
    <row r="19" spans="1:2" ht="12.75">
      <c r="A19" s="142" t="str">
        <f>+INPUT!B132</f>
        <v>SW Diversions - Irrigation - Small Pumps - Kansas</v>
      </c>
      <c r="B19" s="142">
        <f>+INPUT!C132</f>
        <v>451.8</v>
      </c>
    </row>
    <row r="20" spans="1:2" ht="12.75">
      <c r="A20" s="142" t="str">
        <f>+INPUT!B133</f>
        <v>SW Diversions - M&amp;I - Kansas</v>
      </c>
      <c r="B20" s="142">
        <f>+INPUT!C133</f>
        <v>525.2</v>
      </c>
    </row>
    <row r="21" spans="1:2" ht="12.75">
      <c r="A21" s="142" t="str">
        <f>+INPUT!B134</f>
        <v>SW Diversions - Irrigation - Non-Federal Canals - Nebraska -Below Gage</v>
      </c>
      <c r="B21" s="142">
        <f>+INPUT!C134</f>
        <v>0</v>
      </c>
    </row>
    <row r="22" spans="1:2" ht="12.75">
      <c r="A22" s="142" t="str">
        <f>+INPUT!B135</f>
        <v>SW Diversions - Irrigation - Small Pumps -Nebraska - Below Gage</v>
      </c>
      <c r="B22" s="142">
        <f>+INPUT!C135</f>
        <v>223.56</v>
      </c>
    </row>
    <row r="23" spans="1:2" ht="12.75">
      <c r="A23" s="142" t="str">
        <f>+INPUT!B136</f>
        <v>SW Diversions - M&amp;I - Nebraska - Below Gage</v>
      </c>
      <c r="B23" s="142">
        <f>+INPUT!C136</f>
        <v>0</v>
      </c>
    </row>
    <row r="24" spans="1:2" ht="12.75">
      <c r="A24" s="142" t="str">
        <f>+INPUT!B177</f>
        <v>Non-Federal Reservoir Evaporation - Kansas</v>
      </c>
      <c r="B24" s="142">
        <f>+INPUT!C177</f>
        <v>0</v>
      </c>
    </row>
    <row r="25" spans="1:2" ht="12.75">
      <c r="A25" s="142" t="str">
        <f>+INPUT!B178</f>
        <v>Non-Federal Reservoir Evaporation - Nebraska</v>
      </c>
      <c r="B25" s="142">
        <f>+INPUT!C178</f>
        <v>0</v>
      </c>
    </row>
    <row r="26" spans="1:2" ht="12.75">
      <c r="A26" s="142" t="str">
        <f>+INPUT!B211</f>
        <v>Prairie Dog Flood Flow</v>
      </c>
      <c r="B26" s="142">
        <f>+INPUT!C211</f>
        <v>0</v>
      </c>
    </row>
    <row r="27" spans="1:2" ht="12.75">
      <c r="A27" s="143" t="s">
        <v>83</v>
      </c>
      <c r="B27" s="117"/>
    </row>
    <row r="28" spans="1:2" ht="15.75">
      <c r="A28" s="144" t="s">
        <v>265</v>
      </c>
      <c r="B28" s="132"/>
    </row>
    <row r="29" spans="1:2" ht="12.75">
      <c r="A29" s="125" t="s">
        <v>0</v>
      </c>
      <c r="B29" s="126"/>
    </row>
    <row r="30" spans="1:2" ht="12.75">
      <c r="A30" s="126" t="str">
        <f>'NORTH FORK'!A38</f>
        <v>GW CBCU</v>
      </c>
      <c r="B30" s="126">
        <f>+B6</f>
        <v>0</v>
      </c>
    </row>
    <row r="31" spans="1:2" ht="12.75">
      <c r="A31" s="126" t="str">
        <f>'NORTH FORK'!A39</f>
        <v>Total CBCU</v>
      </c>
      <c r="B31" s="128">
        <f>(ROUND(SUM(B30:B30),-1))</f>
        <v>0</v>
      </c>
    </row>
    <row r="32" spans="1:2" ht="12.75">
      <c r="A32" s="126" t="s">
        <v>83</v>
      </c>
      <c r="B32" s="126"/>
    </row>
    <row r="33" spans="1:2" ht="12.75">
      <c r="A33" s="125" t="s">
        <v>183</v>
      </c>
      <c r="B33" s="126"/>
    </row>
    <row r="34" spans="1:2" ht="12.75">
      <c r="A34" s="126" t="str">
        <f>(LEFT(A17,13))&amp;" "&amp;"CBCU"</f>
        <v>Almena Canal  CBCU</v>
      </c>
      <c r="B34" s="126">
        <f>+B17*(1-B11)</f>
        <v>2070.192</v>
      </c>
    </row>
    <row r="35" spans="1:2" ht="12.75">
      <c r="A35" s="126" t="str">
        <f>'NORTH FORK'!A23</f>
        <v>SW CBCU - Irrigation - Non Federal Canals</v>
      </c>
      <c r="B35" s="126">
        <f>+B18*CanalCUPercent</f>
        <v>0</v>
      </c>
    </row>
    <row r="36" spans="1:2" ht="12.75">
      <c r="A36" s="126" t="str">
        <f>'NORTH FORK'!A24</f>
        <v>SW CBCU - Irrigation - Small Pumps</v>
      </c>
      <c r="B36" s="126">
        <f>+B19*PumperCUPercent</f>
        <v>338.85</v>
      </c>
    </row>
    <row r="37" spans="1:2" ht="12.75">
      <c r="A37" s="126" t="str">
        <f>'NORTH FORK'!A25</f>
        <v>SW CBCU - M&amp;I</v>
      </c>
      <c r="B37" s="126">
        <f>+B20*MI_CUPercent</f>
        <v>262.6</v>
      </c>
    </row>
    <row r="38" spans="1:2" ht="12.75">
      <c r="A38" s="126" t="str">
        <f>A15</f>
        <v>Keith Sebelius Lake Evaporation</v>
      </c>
      <c r="B38" s="145">
        <f>+B15</f>
        <v>3115.1</v>
      </c>
    </row>
    <row r="39" spans="1:2" ht="12.75">
      <c r="A39" s="129" t="str">
        <f>'NORTH FORK'!A26</f>
        <v>Non-Federal Reservoir Evaporation</v>
      </c>
      <c r="B39" s="129">
        <f>B24</f>
        <v>0</v>
      </c>
    </row>
    <row r="40" spans="1:3" ht="12.75">
      <c r="A40" s="129" t="str">
        <f>'NORTH FORK'!A27</f>
        <v>SW CBCU</v>
      </c>
      <c r="B40" s="145">
        <f>B34+B35+B36+B37+B38+B39</f>
        <v>5786.742</v>
      </c>
      <c r="C40" s="76"/>
    </row>
    <row r="41" spans="1:2" ht="12.75">
      <c r="A41" s="129" t="str">
        <f>'NORTH FORK'!A28</f>
        <v>GW CBCU</v>
      </c>
      <c r="B41" s="128">
        <f>+B7</f>
        <v>3406</v>
      </c>
    </row>
    <row r="42" spans="1:2" ht="12.75">
      <c r="A42" s="129" t="str">
        <f>'NORTH FORK'!A29</f>
        <v>Total CBCU</v>
      </c>
      <c r="B42" s="128">
        <f>(ROUND(SUM(B40:B41),-1))</f>
        <v>9190</v>
      </c>
    </row>
    <row r="43" spans="1:2" ht="12.75">
      <c r="A43" s="126" t="s">
        <v>83</v>
      </c>
      <c r="B43" s="126"/>
    </row>
    <row r="44" spans="1:2" ht="12.75">
      <c r="A44" s="125" t="s">
        <v>1</v>
      </c>
      <c r="B44" s="126"/>
    </row>
    <row r="45" spans="1:2" ht="12.75">
      <c r="A45" s="129" t="s">
        <v>240</v>
      </c>
      <c r="B45" s="126">
        <f>B21*CanalCUPercent</f>
        <v>0</v>
      </c>
    </row>
    <row r="46" spans="1:2" ht="12.75">
      <c r="A46" s="129" t="s">
        <v>503</v>
      </c>
      <c r="B46" s="126">
        <f>B22*PumperCUPercent</f>
        <v>167.67000000000002</v>
      </c>
    </row>
    <row r="47" spans="1:2" ht="12.75">
      <c r="A47" s="129" t="s">
        <v>197</v>
      </c>
      <c r="B47" s="126">
        <f>B23*MI_CUPercent</f>
        <v>0</v>
      </c>
    </row>
    <row r="48" spans="1:2" ht="12.75">
      <c r="A48" s="129" t="str">
        <f>'NORTH FORK'!A26</f>
        <v>Non-Federal Reservoir Evaporation</v>
      </c>
      <c r="B48" s="129">
        <f>B25</f>
        <v>0</v>
      </c>
    </row>
    <row r="49" spans="1:2" ht="12.75">
      <c r="A49" s="129" t="str">
        <f>'NORTH FORK'!A27</f>
        <v>SW CBCU</v>
      </c>
      <c r="B49" s="145">
        <f>B45+B46+B47+B48</f>
        <v>167.67000000000002</v>
      </c>
    </row>
    <row r="50" spans="1:3" ht="12.75">
      <c r="A50" s="129" t="str">
        <f>'NORTH FORK'!A28</f>
        <v>GW CBCU</v>
      </c>
      <c r="B50" s="129">
        <f>+B8</f>
        <v>0</v>
      </c>
      <c r="C50" s="76"/>
    </row>
    <row r="51" spans="1:2" ht="12.75">
      <c r="A51" s="129" t="str">
        <f>'NORTH FORK'!A29</f>
        <v>Total CBCU</v>
      </c>
      <c r="B51" s="128">
        <f>(ROUND(SUM(B49:B50),-1))</f>
        <v>170</v>
      </c>
    </row>
    <row r="52" spans="1:2" ht="12.75">
      <c r="A52" s="129" t="s">
        <v>83</v>
      </c>
      <c r="B52" s="126"/>
    </row>
    <row r="53" spans="1:2" ht="12.75">
      <c r="A53" s="130" t="s">
        <v>415</v>
      </c>
      <c r="B53" s="126"/>
    </row>
    <row r="54" spans="1:3" ht="12.75">
      <c r="A54" s="126" t="s">
        <v>250</v>
      </c>
      <c r="B54" s="145">
        <f>B45+B46+B47+B48</f>
        <v>167.67000000000002</v>
      </c>
      <c r="C54" s="19"/>
    </row>
    <row r="55" spans="1:2" ht="12.75">
      <c r="A55" s="129" t="s">
        <v>224</v>
      </c>
      <c r="B55" s="128">
        <f>SUM(B54:B54)</f>
        <v>167.67000000000002</v>
      </c>
    </row>
    <row r="56" spans="1:2" ht="12.75">
      <c r="A56" s="129" t="s">
        <v>83</v>
      </c>
      <c r="B56" s="126"/>
    </row>
    <row r="57" spans="1:2" ht="12.75">
      <c r="A57" s="130" t="s">
        <v>184</v>
      </c>
      <c r="B57" s="126"/>
    </row>
    <row r="58" spans="1:2" ht="12.75">
      <c r="A58" s="129" t="str">
        <f>'NORTH FORK'!A42</f>
        <v>Total SW CBCU</v>
      </c>
      <c r="B58" s="128">
        <f>+B40+B49</f>
        <v>5954.412</v>
      </c>
    </row>
    <row r="59" spans="1:2" ht="12.75">
      <c r="A59" s="129" t="str">
        <f>'NORTH FORK'!A43</f>
        <v>Total GW CBCU</v>
      </c>
      <c r="B59" s="145">
        <f>+B30+B41+B50</f>
        <v>3406</v>
      </c>
    </row>
    <row r="60" spans="1:2" ht="12.75">
      <c r="A60" s="129" t="str">
        <f>'NORTH FORK'!A44</f>
        <v>Total Basin CBCU</v>
      </c>
      <c r="B60" s="128">
        <f>SUM(B58:B59)</f>
        <v>9360.412</v>
      </c>
    </row>
    <row r="61" spans="1:2" ht="12.75">
      <c r="A61" s="129" t="s">
        <v>83</v>
      </c>
      <c r="B61" s="126"/>
    </row>
    <row r="62" spans="1:2" ht="15.75">
      <c r="A62" s="131" t="s">
        <v>10</v>
      </c>
      <c r="B62" s="132"/>
    </row>
    <row r="63" spans="1:2" ht="12.75">
      <c r="A63" s="133" t="str">
        <f>A14</f>
        <v>Prairie Dog Creek Near Woodruff</v>
      </c>
      <c r="B63" s="133">
        <f>B14</f>
        <v>9916.39</v>
      </c>
    </row>
    <row r="64" spans="1:2" ht="12.75">
      <c r="A64" s="132" t="str">
        <f>'NORTH FORK'!A49</f>
        <v>Colorado CBCU</v>
      </c>
      <c r="B64" s="133">
        <f>+B31</f>
        <v>0</v>
      </c>
    </row>
    <row r="65" spans="1:2" ht="12.75">
      <c r="A65" s="132" t="str">
        <f>'NORTH FORK'!A50</f>
        <v>Kansas CBCU</v>
      </c>
      <c r="B65" s="146">
        <f>+B42</f>
        <v>9190</v>
      </c>
    </row>
    <row r="66" spans="1:3" ht="12.75">
      <c r="A66" s="132" t="str">
        <f>'NORTH FORK'!A51</f>
        <v>Nebraska CBCU</v>
      </c>
      <c r="B66" s="147">
        <f>B51</f>
        <v>170</v>
      </c>
      <c r="C66" s="19"/>
    </row>
    <row r="67" spans="1:3" ht="12.75">
      <c r="A67" s="132" t="s">
        <v>250</v>
      </c>
      <c r="B67" s="147">
        <f>B54</f>
        <v>167.67000000000002</v>
      </c>
      <c r="C67" s="19"/>
    </row>
    <row r="68" spans="1:3" ht="12.75">
      <c r="A68" s="132" t="str">
        <f>A16</f>
        <v>Keith Sebelius Lake Change In Storage</v>
      </c>
      <c r="B68" s="134">
        <f>+B16</f>
        <v>-800</v>
      </c>
      <c r="C68" s="19"/>
    </row>
    <row r="69" spans="1:3" ht="12.75">
      <c r="A69" s="132" t="str">
        <f>'NORTH FORK'!A52</f>
        <v>Imported Water</v>
      </c>
      <c r="B69" s="134">
        <f>+B5</f>
        <v>0</v>
      </c>
      <c r="C69" s="150"/>
    </row>
    <row r="70" spans="1:3" ht="12.75">
      <c r="A70" s="132" t="str">
        <f>'NORTH FORK'!A53</f>
        <v>Virgin Water Supply</v>
      </c>
      <c r="B70" s="147">
        <f>ROUND(SUM(B63:B66)+B68-B69-B67,-1)</f>
        <v>18310</v>
      </c>
      <c r="C70" s="19"/>
    </row>
    <row r="71" spans="1:2" ht="12.75">
      <c r="A71" s="132" t="str">
        <f>'NORTH FORK'!A54</f>
        <v>Adjustment For Flood Flows</v>
      </c>
      <c r="B71" s="134">
        <f>B26</f>
        <v>0</v>
      </c>
    </row>
    <row r="72" spans="1:2" ht="12.75">
      <c r="A72" s="132" t="str">
        <f>'NORTH FORK'!A55</f>
        <v>Computed Water Supply</v>
      </c>
      <c r="B72" s="147">
        <f>ROUND(+B70-B71-B68,-1)</f>
        <v>19110</v>
      </c>
    </row>
    <row r="73" spans="1:2" ht="12.75">
      <c r="A73" s="134" t="s">
        <v>83</v>
      </c>
      <c r="B73" s="134"/>
    </row>
    <row r="74" spans="1:2" ht="15.75">
      <c r="A74" s="131" t="s">
        <v>12</v>
      </c>
      <c r="B74" s="148"/>
    </row>
    <row r="75" spans="1:2" ht="12.75">
      <c r="A75" s="126" t="str">
        <f>'NORTH FORK'!A58</f>
        <v>Colorado Percent Of Allocation</v>
      </c>
      <c r="B75" s="149">
        <f>'T2'!D14</f>
        <v>0</v>
      </c>
    </row>
    <row r="76" spans="1:2" ht="12.75">
      <c r="A76" s="126" t="str">
        <f>'NORTH FORK'!A59</f>
        <v>Colorado Allocation</v>
      </c>
      <c r="B76" s="145">
        <f>ROUND(+B72*B75,-1)</f>
        <v>0</v>
      </c>
    </row>
    <row r="77" spans="1:2" ht="12.75">
      <c r="A77" s="126" t="str">
        <f>'NORTH FORK'!A60</f>
        <v>Kansas Percent Of Allocation</v>
      </c>
      <c r="B77" s="149">
        <f>'T2'!F14</f>
        <v>0.457</v>
      </c>
    </row>
    <row r="78" spans="1:2" ht="12.75">
      <c r="A78" s="126" t="str">
        <f>'NORTH FORK'!A61</f>
        <v>Kansas Allocation</v>
      </c>
      <c r="B78" s="145">
        <f>ROUND(B72*B77,-1)</f>
        <v>8730</v>
      </c>
    </row>
    <row r="79" spans="1:2" ht="12.75">
      <c r="A79" s="126" t="str">
        <f>'NORTH FORK'!A62</f>
        <v>Nebraska Percent Of Allocation</v>
      </c>
      <c r="B79" s="149">
        <f>'T2'!H14</f>
        <v>0.076</v>
      </c>
    </row>
    <row r="80" spans="1:2" ht="12.75">
      <c r="A80" s="2" t="str">
        <f>'NORTH FORK'!A63</f>
        <v>Nebraska Allocation</v>
      </c>
      <c r="B80" s="32">
        <f>ROUND(B72*B79,-1)</f>
        <v>1450</v>
      </c>
    </row>
    <row r="81" spans="1:2" ht="12.75">
      <c r="A81" s="2" t="str">
        <f>'NORTH FORK'!A64</f>
        <v>Total Basin Allocation</v>
      </c>
      <c r="B81" s="32">
        <f>+B76+B78+B80</f>
        <v>10180</v>
      </c>
    </row>
    <row r="82" spans="1:2" ht="12.75">
      <c r="A82" s="2" t="str">
        <f>'NORTH FORK'!A65</f>
        <v>Percent Of Supply Not Allocated</v>
      </c>
      <c r="B82" s="78">
        <f>'T2'!J14</f>
        <v>0.467</v>
      </c>
    </row>
    <row r="83" spans="1:2" ht="12.75">
      <c r="A83" s="2" t="str">
        <f>'NORTH FORK'!A66</f>
        <v>Quantity Of Unallocated Supply</v>
      </c>
      <c r="B83" s="32">
        <f>+B72-B76-B78-B80</f>
        <v>8930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
      <selection activeCell="C9" sqref="C9"/>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1">
        <f>INPUT!C1</f>
        <v>2001</v>
      </c>
    </row>
    <row r="2" ht="12.75"/>
    <row r="3" ht="15.75">
      <c r="A3" s="10" t="s">
        <v>179</v>
      </c>
    </row>
    <row r="4" ht="12.75">
      <c r="A4" s="8" t="s">
        <v>180</v>
      </c>
    </row>
    <row r="5" spans="1:2" ht="12.75">
      <c r="A5" s="61" t="str">
        <f>+INPUT!B58</f>
        <v>Imported Water Nebraska Above Guide Rock</v>
      </c>
      <c r="B5" s="61">
        <f>+INPUT!C58</f>
        <v>9016</v>
      </c>
    </row>
    <row r="6" spans="1:2" ht="12.75">
      <c r="A6" s="61" t="str">
        <f>+INPUT!B40</f>
        <v>GW CBCU Colorado</v>
      </c>
      <c r="B6" s="61">
        <f>+INPUT!C40</f>
        <v>-4166</v>
      </c>
    </row>
    <row r="7" spans="1:2" ht="12.75">
      <c r="A7" s="61" t="str">
        <f>+INPUT!B41</f>
        <v>GW CBCU Kansas</v>
      </c>
      <c r="B7" s="61">
        <f>+INPUT!C41</f>
        <v>141</v>
      </c>
    </row>
    <row r="8" spans="1:2" ht="12.75">
      <c r="A8" s="61" t="str">
        <f>+INPUT!B42</f>
        <v>GW CBCU Nebraska Above Guide Rock</v>
      </c>
      <c r="B8" s="61">
        <f>+INPUT!C42</f>
        <v>78411</v>
      </c>
    </row>
    <row r="9" spans="1:2" ht="12.75">
      <c r="A9" s="61" t="str">
        <f>+INPUT!B43</f>
        <v>GW CBCU Nebraska Below Guide Rock</v>
      </c>
      <c r="B9" s="61">
        <f>+INPUT!C43</f>
        <v>2008</v>
      </c>
    </row>
    <row r="10" spans="1:2" ht="12" customHeight="1">
      <c r="A10" s="55" t="s">
        <v>220</v>
      </c>
      <c r="B10" s="61">
        <f>+B8+B9</f>
        <v>80419</v>
      </c>
    </row>
    <row r="11" spans="1:2" ht="12" customHeight="1">
      <c r="A11" s="9"/>
      <c r="B11" s="32"/>
    </row>
    <row r="12" spans="1:2" ht="12" customHeight="1">
      <c r="A12" s="5" t="s">
        <v>215</v>
      </c>
      <c r="B12" s="32"/>
    </row>
    <row r="13" spans="1:2" ht="12" customHeight="1">
      <c r="A13" s="60" t="str">
        <f>+INPUT!B243</f>
        <v>Meeker-Driftwood Canal % Return Flow</v>
      </c>
      <c r="B13" s="60">
        <f>+INPUT!C243</f>
        <v>0.4869923664122137</v>
      </c>
    </row>
    <row r="14" spans="1:2" ht="12" customHeight="1">
      <c r="A14" s="55" t="str">
        <f>+INPUT!B240</f>
        <v>Culbertson Canal % Return Flow</v>
      </c>
      <c r="B14" s="178">
        <f>+INPUT!C240</f>
        <v>0.594735496840896</v>
      </c>
    </row>
    <row r="15" spans="1:2" ht="12" customHeight="1">
      <c r="A15" s="55" t="str">
        <f>+INPUT!B241</f>
        <v>Culbertson Canal Extension % Return Flow</v>
      </c>
      <c r="B15" s="178">
        <f>+INPUT!C241</f>
        <v>0.6085305719921104</v>
      </c>
    </row>
    <row r="16" spans="1:2" ht="12" customHeight="1">
      <c r="A16" s="60" t="str">
        <f>+INPUT!B245</f>
        <v>Red Willow Canal % Return Flow</v>
      </c>
      <c r="B16" s="60">
        <f>+INPUT!C245</f>
        <v>0.5008967320261437</v>
      </c>
    </row>
    <row r="17" spans="1:2" ht="12" customHeight="1">
      <c r="A17" s="60" t="str">
        <f>+INPUT!B249</f>
        <v>Bartley Canal % Return Flow</v>
      </c>
      <c r="B17" s="60">
        <f>+INPUT!C249</f>
        <v>0.47063419618528607</v>
      </c>
    </row>
    <row r="18" spans="1:2" ht="12" customHeight="1">
      <c r="A18" s="60" t="str">
        <f>+INPUT!B251</f>
        <v>Cambridge Canal % Return Flow</v>
      </c>
      <c r="B18" s="60">
        <f>+INPUT!C251</f>
        <v>0.4812554893270162</v>
      </c>
    </row>
    <row r="19" spans="1:2" ht="12" customHeight="1">
      <c r="A19" s="155" t="str">
        <f>+INPUT!B253</f>
        <v>Naponee Canal % Return Flow</v>
      </c>
      <c r="B19" s="155">
        <f>+INPUT!C253</f>
        <v>0.5331646586345381</v>
      </c>
    </row>
    <row r="20" spans="1:2" ht="12" customHeight="1">
      <c r="A20" s="155" t="str">
        <f>+INPUT!B255</f>
        <v>Franklin Canal % Return Flow</v>
      </c>
      <c r="B20" s="155">
        <f>+INPUT!C255</f>
        <v>0.6394141325672645</v>
      </c>
    </row>
    <row r="21" spans="1:2" ht="12" customHeight="1">
      <c r="A21" s="155" t="str">
        <f>+INPUT!B257</f>
        <v>Franklin Pump Canal % Return Flow</v>
      </c>
      <c r="B21" s="155">
        <f>+INPUT!C257</f>
        <v>0.4958847169257847</v>
      </c>
    </row>
    <row r="22" spans="1:2" ht="12" customHeight="1">
      <c r="A22" s="155" t="str">
        <f>+INPUT!B259</f>
        <v>Superior Canal % Return Flow</v>
      </c>
      <c r="B22" s="155">
        <f>+INPUT!C259</f>
        <v>0.5902360435282668</v>
      </c>
    </row>
    <row r="23" spans="1:2" ht="12" customHeight="1">
      <c r="A23" s="155" t="str">
        <f>INPUT!B263</f>
        <v>Nebraska Courtland % Return Flow</v>
      </c>
      <c r="B23" s="155">
        <f>INPUT!C263</f>
        <v>0.3928015136226034</v>
      </c>
    </row>
    <row r="24" spans="1:2" ht="12" customHeight="1">
      <c r="A24" s="155" t="str">
        <f>+INPUT!B268</f>
        <v>Courtland Canal Above Lovewell %  Return Flow</v>
      </c>
      <c r="B24" s="155">
        <f>+INPUT!C268</f>
        <v>0.5225058296668762</v>
      </c>
    </row>
    <row r="25" spans="1:2" ht="12" customHeight="1">
      <c r="A25" s="155" t="str">
        <f>+INPUT!B272</f>
        <v>Courtland Canal Below Lovewell % Return Flow</v>
      </c>
      <c r="B25" s="155">
        <f>+INPUT!C272</f>
        <v>0.4559466598933198</v>
      </c>
    </row>
    <row r="26" spans="1:2" ht="12.75">
      <c r="A26" s="117"/>
      <c r="B26" s="124"/>
    </row>
    <row r="27" spans="1:2" ht="12.75">
      <c r="A27" s="130" t="s">
        <v>182</v>
      </c>
      <c r="B27" s="128"/>
    </row>
    <row r="28" spans="1:2" ht="12.75">
      <c r="A28" s="126" t="s">
        <v>201</v>
      </c>
      <c r="B28" s="128"/>
    </row>
    <row r="29" spans="1:2" ht="12.75">
      <c r="A29" s="156" t="str">
        <f>+INPUT!B196</f>
        <v>Republican River Near Hardy</v>
      </c>
      <c r="B29" s="156">
        <f>+INPUT!C196</f>
        <v>178139.99</v>
      </c>
    </row>
    <row r="30" spans="1:2" ht="12.75">
      <c r="A30" s="156" t="str">
        <f>+INPUT!B183</f>
        <v>North Fork Republican River At Colorado-Nebraska State Line</v>
      </c>
      <c r="B30" s="156">
        <f>+INPUT!C183</f>
        <v>19751.57</v>
      </c>
    </row>
    <row r="31" spans="1:2" ht="12.75">
      <c r="A31" s="156" t="str">
        <f>+INPUT!B184</f>
        <v>Arikaree River At Haigler</v>
      </c>
      <c r="B31" s="156">
        <f>+INPUT!C184</f>
        <v>552.74</v>
      </c>
    </row>
    <row r="32" spans="1:2" ht="12.75">
      <c r="A32" s="156" t="str">
        <f>+INPUT!B185</f>
        <v>Buffalo Creek Near Haigler</v>
      </c>
      <c r="B32" s="156">
        <f>+INPUT!C185</f>
        <v>2998.78</v>
      </c>
    </row>
    <row r="33" spans="1:2" ht="12.75">
      <c r="A33" s="156" t="str">
        <f>+INPUT!B186</f>
        <v>Rock Creek At Parks</v>
      </c>
      <c r="B33" s="156">
        <f>+INPUT!C186</f>
        <v>5658.13</v>
      </c>
    </row>
    <row r="34" spans="1:2" ht="12.75">
      <c r="A34" s="156" t="str">
        <f>+INPUT!B187</f>
        <v>South Fork Republican River Near Benkelman</v>
      </c>
      <c r="B34" s="156">
        <f>+INPUT!C187</f>
        <v>3097.08</v>
      </c>
    </row>
    <row r="35" spans="1:2" ht="12.75">
      <c r="A35" s="156" t="str">
        <f>+INPUT!B188</f>
        <v>Frenchman Creek At Culbertson</v>
      </c>
      <c r="B35" s="156">
        <f>+INPUT!C188</f>
        <v>20877.69</v>
      </c>
    </row>
    <row r="36" spans="1:2" ht="12.75">
      <c r="A36" s="156" t="str">
        <f>+INPUT!B189</f>
        <v>Driftwood Creek Near McCook</v>
      </c>
      <c r="B36" s="156">
        <f>+INPUT!C189</f>
        <v>2589.04</v>
      </c>
    </row>
    <row r="37" spans="1:2" ht="12.75">
      <c r="A37" s="156" t="str">
        <f>+INPUT!B190</f>
        <v>Red Willow Creek Near Red Willow</v>
      </c>
      <c r="B37" s="156">
        <f>+INPUT!C190</f>
        <v>12044.98</v>
      </c>
    </row>
    <row r="38" spans="1:2" ht="12.75">
      <c r="A38" s="156" t="str">
        <f>+INPUT!B191</f>
        <v>Medicine Creek Below Harry Strunk</v>
      </c>
      <c r="B38" s="156">
        <f>+INPUT!C191</f>
        <v>31372.8</v>
      </c>
    </row>
    <row r="39" spans="1:2" ht="12.75">
      <c r="A39" s="156" t="str">
        <f>+INPUT!B193</f>
        <v>Sappa Creek Near Stamford</v>
      </c>
      <c r="B39" s="156">
        <f>+INPUT!C193</f>
        <v>7218.88</v>
      </c>
    </row>
    <row r="40" spans="1:2" ht="12.75">
      <c r="A40" s="156" t="str">
        <f>+INPUT!B194</f>
        <v>Prairie Dog Creek Near Woodruff</v>
      </c>
      <c r="B40" s="156">
        <f>+INPUT!C194</f>
        <v>9916.39</v>
      </c>
    </row>
    <row r="41" spans="1:2" ht="12.75">
      <c r="A41" s="156" t="str">
        <f>+INPUT!B197</f>
        <v>White Rock Creek Above Lovewell</v>
      </c>
      <c r="B41" s="156">
        <f>+INPUT!C197</f>
        <v>0</v>
      </c>
    </row>
    <row r="42" spans="1:2" ht="12.75">
      <c r="A42" s="157" t="s">
        <v>128</v>
      </c>
      <c r="B42" s="128"/>
    </row>
    <row r="43" spans="1:2" ht="12.75">
      <c r="A43" s="156" t="str">
        <f>+INPUT!B225</f>
        <v>Swanson Lake Evaporation</v>
      </c>
      <c r="B43" s="156">
        <f>+INPUT!C225</f>
        <v>4816.2</v>
      </c>
    </row>
    <row r="44" spans="1:2" ht="12.75">
      <c r="A44" s="156" t="str">
        <f>+INPUT!B226</f>
        <v>Swanson Lake Change In Storage</v>
      </c>
      <c r="B44" s="156">
        <f>+INPUT!C226</f>
        <v>-1800</v>
      </c>
    </row>
    <row r="45" spans="1:2" ht="12.75">
      <c r="A45" s="156" t="str">
        <f>+INPUT!B219</f>
        <v>Hugh Butler Lake Evaporation</v>
      </c>
      <c r="B45" s="156">
        <f>+INPUT!C219</f>
        <v>2447</v>
      </c>
    </row>
    <row r="46" spans="1:2" ht="12.75">
      <c r="A46" s="156" t="str">
        <f>+INPUT!B221</f>
        <v>Harry Strunk Lake Evaporation</v>
      </c>
      <c r="B46" s="156">
        <f>+INPUT!C221</f>
        <v>2850.4</v>
      </c>
    </row>
    <row r="47" spans="1:2" ht="12.75">
      <c r="A47" s="156" t="str">
        <f>+INPUT!B227</f>
        <v>Harlan County Evaporation</v>
      </c>
      <c r="B47" s="156">
        <f>+INPUT!C227</f>
        <v>12341</v>
      </c>
    </row>
    <row r="48" spans="1:2" ht="12.75">
      <c r="A48" s="156" t="str">
        <f>+INPUT!B228</f>
        <v>Harlan County Change In Storage</v>
      </c>
      <c r="B48" s="156">
        <f>+INPUT!C228</f>
        <v>27900</v>
      </c>
    </row>
    <row r="49" spans="1:2" ht="12.75">
      <c r="A49" s="156" t="str">
        <f>+INPUT!B229</f>
        <v>Lovewell Reservoir Ev charged to the Republican River </v>
      </c>
      <c r="B49" s="156">
        <f>+INPUT!C229</f>
        <v>320</v>
      </c>
    </row>
    <row r="50" spans="1:2" ht="12.75">
      <c r="A50" s="157" t="s">
        <v>202</v>
      </c>
      <c r="B50" s="128"/>
    </row>
    <row r="51" spans="1:2" ht="12.75">
      <c r="A51" s="156" t="str">
        <f>+INPUT!B248</f>
        <v>Bartley Canal Diversion</v>
      </c>
      <c r="B51" s="156">
        <f>+INPUT!C248</f>
        <v>5872</v>
      </c>
    </row>
    <row r="52" spans="1:2" ht="12.75">
      <c r="A52" s="156" t="str">
        <f>+INPUT!B250</f>
        <v>Cambridge Canal Diversion</v>
      </c>
      <c r="B52" s="156">
        <f>+INPUT!C250</f>
        <v>19629</v>
      </c>
    </row>
    <row r="53" spans="1:2" ht="12.75">
      <c r="A53" s="156" t="str">
        <f>+INPUT!B252</f>
        <v>Naponee Canal Diversion</v>
      </c>
      <c r="B53" s="156">
        <f>+INPUT!C252</f>
        <v>2988</v>
      </c>
    </row>
    <row r="54" spans="1:2" ht="12.75">
      <c r="A54" s="156" t="str">
        <f>+INPUT!B254</f>
        <v>Franklin Canal Diversion</v>
      </c>
      <c r="B54" s="156">
        <f>+INPUT!C254</f>
        <v>28544</v>
      </c>
    </row>
    <row r="55" spans="1:2" ht="12.75">
      <c r="A55" s="156" t="str">
        <f>+INPUT!B256</f>
        <v>Franklin Pump Canal Diversions</v>
      </c>
      <c r="B55" s="156">
        <f>+INPUT!C256</f>
        <v>3409</v>
      </c>
    </row>
    <row r="56" spans="1:2" ht="12.75">
      <c r="A56" s="156" t="str">
        <f>+INPUT!B258</f>
        <v>Superior Canal Diversions</v>
      </c>
      <c r="B56" s="156">
        <f>+INPUT!C258</f>
        <v>11303</v>
      </c>
    </row>
    <row r="57" spans="1:2" ht="12.75">
      <c r="A57" s="157"/>
      <c r="B57" s="128"/>
    </row>
    <row r="58" spans="1:2" ht="12.75">
      <c r="A58" s="156" t="str">
        <f>+INPUT!B261</f>
        <v>Courtland Canal Diversions At Headgate</v>
      </c>
      <c r="B58" s="156">
        <f>+INPUT!C261</f>
        <v>61217</v>
      </c>
    </row>
    <row r="59" spans="1:2" ht="12.75">
      <c r="A59" s="156" t="str">
        <f>+INPUT!B262</f>
        <v>Diversions to Nebraska Courtland</v>
      </c>
      <c r="B59" s="156">
        <f>+INPUT!C262</f>
        <v>1982</v>
      </c>
    </row>
    <row r="60" spans="1:3" ht="12.75">
      <c r="A60" s="156" t="str">
        <f>INPUT!B264</f>
        <v>Courtland Canal, Loss in NE assigned to upper Courtland KS</v>
      </c>
      <c r="B60" s="156">
        <f>INPUT!C264</f>
        <v>4064</v>
      </c>
      <c r="C60" t="s">
        <v>516</v>
      </c>
    </row>
    <row r="61" spans="1:2" ht="12.75">
      <c r="A61" s="156" t="str">
        <f>INPUT!B265</f>
        <v>Courtland Canal, Loss in NE assigned to delivery to Lovewell </v>
      </c>
      <c r="B61" s="156">
        <f>INPUT!C265</f>
        <v>4419</v>
      </c>
    </row>
    <row r="62" spans="1:3" ht="12.75">
      <c r="A62" s="156" t="str">
        <f>+INPUT!B266</f>
        <v>Courtland Canal At Kansas-Nebraska State Line</v>
      </c>
      <c r="B62" s="156">
        <f>+INPUT!C266</f>
        <v>50752</v>
      </c>
      <c r="C62" s="19"/>
    </row>
    <row r="63" spans="1:3" ht="12.75">
      <c r="A63" s="156" t="str">
        <f>+INPUT!B267</f>
        <v>Courtland Canal Diversions to the Upper Courtland District</v>
      </c>
      <c r="B63" s="156">
        <f>+INPUT!C267</f>
        <v>25456</v>
      </c>
      <c r="C63" s="19"/>
    </row>
    <row r="64" spans="1:3" ht="12.75">
      <c r="A64" s="156" t="str">
        <f>+INPUT!B269</f>
        <v>Courtland Canal, Loss assigned to deliveries of water to Lovewell, Stateline to Lovewell</v>
      </c>
      <c r="B64" s="156">
        <f>+INPUT!C269</f>
        <v>3243</v>
      </c>
      <c r="C64" s="19"/>
    </row>
    <row r="65" spans="1:3" ht="12.75">
      <c r="A65" s="156" t="str">
        <f>+INPUT!B270</f>
        <v>Courtland Canal Deliveries To Lovewell Reservoir</v>
      </c>
      <c r="B65" s="156">
        <f>+INPUT!C270</f>
        <v>14130</v>
      </c>
      <c r="C65" s="19" t="s">
        <v>584</v>
      </c>
    </row>
    <row r="66" spans="1:2" ht="12.75">
      <c r="A66" s="156" t="str">
        <f>+INPUT!B271</f>
        <v>Diversions of Republican River water from Lovewell Reservoir to the Courtland Canal below Lovewell</v>
      </c>
      <c r="B66" s="156">
        <f>+INPUT!C271</f>
        <v>25920</v>
      </c>
    </row>
    <row r="67" spans="1:2" ht="12.75">
      <c r="A67" s="179"/>
      <c r="B67" s="180"/>
    </row>
    <row r="68" spans="1:3" ht="12.75">
      <c r="A68" s="156" t="str">
        <f>+INPUT!B275</f>
        <v>Kansas Bostwick Diversions During Irrigation Season</v>
      </c>
      <c r="B68" s="156">
        <f>+INPUT!C275</f>
        <v>46739</v>
      </c>
      <c r="C68" s="19"/>
    </row>
    <row r="69" spans="1:3" ht="12.75">
      <c r="A69" s="158" t="s">
        <v>169</v>
      </c>
      <c r="B69" s="156">
        <f>INPUT!C276</f>
        <v>48146</v>
      </c>
      <c r="C69" s="19"/>
    </row>
    <row r="70" spans="1:2" ht="12.75">
      <c r="A70" s="156"/>
      <c r="B70" s="156"/>
    </row>
    <row r="71" spans="1:2" ht="12.75">
      <c r="A71" s="156" t="str">
        <f>+INPUT!B242</f>
        <v>Meeker-Driftwood Canal Diversions</v>
      </c>
      <c r="B71" s="156">
        <f>+INPUT!C242</f>
        <v>17816</v>
      </c>
    </row>
    <row r="72" spans="1:2" ht="12.75">
      <c r="A72" s="156" t="str">
        <f>+INPUT!B244</f>
        <v>Red Willow Canal Diversions</v>
      </c>
      <c r="B72" s="156">
        <f>+INPUT!C244</f>
        <v>5355</v>
      </c>
    </row>
    <row r="73" spans="1:2" ht="12.75">
      <c r="A73" s="156" t="str">
        <f>+INPUT!B238</f>
        <v>Culbertson Canal Diversions</v>
      </c>
      <c r="B73" s="156">
        <f>+INPUT!C238</f>
        <v>6964</v>
      </c>
    </row>
    <row r="74" spans="1:2" ht="12.75">
      <c r="A74" s="156" t="str">
        <f>+INPUT!B239</f>
        <v>Culbertson Canal Extension Diversions</v>
      </c>
      <c r="B74" s="156">
        <f>+INPUT!C239</f>
        <v>7098</v>
      </c>
    </row>
    <row r="75" spans="1:2" ht="12.75">
      <c r="A75" s="156" t="str">
        <f>+INPUT!B233</f>
        <v>Haigler Canal Diversions - Nebraska</v>
      </c>
      <c r="B75" s="156">
        <f>+INPUT!C233</f>
        <v>5011</v>
      </c>
    </row>
    <row r="76" spans="1:2" ht="12.75">
      <c r="A76" s="157" t="s">
        <v>203</v>
      </c>
      <c r="B76" s="128"/>
    </row>
    <row r="77" spans="1:2" ht="12.75">
      <c r="A77" s="156" t="str">
        <f>+INPUT!B137</f>
        <v>SW Diversions - Irrigation - Non-Federal Canals- Kansas</v>
      </c>
      <c r="B77" s="156">
        <f>+INPUT!C137</f>
        <v>0</v>
      </c>
    </row>
    <row r="78" spans="1:2" ht="12.75">
      <c r="A78" s="156" t="str">
        <f>+INPUT!B138</f>
        <v>SW Diversions - Irrigation - Small Pumps - Kansas</v>
      </c>
      <c r="B78" s="156">
        <f>+INPUT!C138</f>
        <v>1164.7</v>
      </c>
    </row>
    <row r="79" spans="1:2" ht="12.75">
      <c r="A79" s="156" t="str">
        <f>+INPUT!B139</f>
        <v>SW Diversions - M&amp;I - Kansas</v>
      </c>
      <c r="B79" s="156">
        <f>+INPUT!C139</f>
        <v>0</v>
      </c>
    </row>
    <row r="80" spans="1:2" ht="12.75">
      <c r="A80" s="156" t="str">
        <f>+INPUT!B179</f>
        <v>Non-Federal Reservoir Evaporation - Kansas</v>
      </c>
      <c r="B80" s="156">
        <f>+INPUT!C179</f>
        <v>0</v>
      </c>
    </row>
    <row r="81" spans="1:2" ht="12.75">
      <c r="A81" s="157" t="s">
        <v>204</v>
      </c>
      <c r="B81" s="128"/>
    </row>
    <row r="82" spans="1:2" ht="12.75">
      <c r="A82" s="156" t="str">
        <f>+INPUT!B140&amp;" "&amp;"-"&amp;" "&amp;(LEFT(INPUT!A137,8))</f>
        <v>SW Diversions - Irrigation - Non-Federal Canals - Nebraska - Mainstem</v>
      </c>
      <c r="B82" s="156">
        <f>+INPUT!C140</f>
        <v>2380</v>
      </c>
    </row>
    <row r="83" spans="1:2" ht="12.75">
      <c r="A83" s="156" t="str">
        <f>+INPUT!B141&amp;" "&amp;"-"&amp;" "&amp;(LEFT(INPUT!$A$137,8))</f>
        <v>SW Diversions - Irrigation - Small Pumps - Nebraska - Mainstem</v>
      </c>
      <c r="B83" s="156">
        <f>+INPUT!C141</f>
        <v>5069.53</v>
      </c>
    </row>
    <row r="84" spans="1:2" ht="12.75">
      <c r="A84" s="156" t="str">
        <f>+INPUT!B142&amp;" "&amp;"-"&amp;" "&amp;(LEFT(INPUT!$A$137,8))</f>
        <v>SW Diversions - M&amp;I - Nebraska - Mainstem</v>
      </c>
      <c r="B84" s="156">
        <f>+INPUT!C142</f>
        <v>0</v>
      </c>
    </row>
    <row r="85" spans="1:3" ht="12.75">
      <c r="A85" s="156" t="str">
        <f>+INPUT!B180</f>
        <v>Non-Federal Reservoir Evaporation - Nebraska - Below Gage</v>
      </c>
      <c r="B85" s="156">
        <f>+INPUT!C180</f>
        <v>0</v>
      </c>
      <c r="C85" s="85"/>
    </row>
    <row r="86" spans="1:3" ht="12.75">
      <c r="A86" s="156" t="str">
        <f>+INPUT!B212</f>
        <v>Mainstem Flood Flow</v>
      </c>
      <c r="B86" s="156">
        <f>+INPUT!C212</f>
        <v>0</v>
      </c>
      <c r="C86" s="85"/>
    </row>
    <row r="87" spans="1:3" ht="12.75">
      <c r="A87" s="159" t="s">
        <v>83</v>
      </c>
      <c r="B87" s="128"/>
      <c r="C87" s="85"/>
    </row>
    <row r="88" spans="1:3" ht="15.75">
      <c r="A88" s="144" t="s">
        <v>205</v>
      </c>
      <c r="B88" s="133"/>
      <c r="C88" s="85"/>
    </row>
    <row r="89" spans="1:3" ht="12.75">
      <c r="A89" s="160" t="s">
        <v>504</v>
      </c>
      <c r="B89" s="147">
        <f>+B62*0.015</f>
        <v>761.28</v>
      </c>
      <c r="C89" s="88"/>
    </row>
    <row r="90" spans="1:3" ht="12.75">
      <c r="A90" s="160" t="s">
        <v>517</v>
      </c>
      <c r="B90" s="147">
        <f>B60*0.18</f>
        <v>731.52</v>
      </c>
      <c r="C90" s="88"/>
    </row>
    <row r="91" spans="1:3" ht="12.75">
      <c r="A91" s="160" t="s">
        <v>518</v>
      </c>
      <c r="B91" s="147">
        <f>B61*0.18</f>
        <v>795.42</v>
      </c>
      <c r="C91" s="88"/>
    </row>
    <row r="92" spans="1:3" ht="12.75">
      <c r="A92" s="160" t="s">
        <v>519</v>
      </c>
      <c r="B92" s="147">
        <f>B64*0.18</f>
        <v>583.74</v>
      </c>
      <c r="C92" s="86"/>
    </row>
    <row r="93" spans="1:3" ht="12.75">
      <c r="A93" s="256" t="s">
        <v>206</v>
      </c>
      <c r="B93" s="257">
        <f>+B49*(B65/(B65+B41))</f>
        <v>320</v>
      </c>
      <c r="C93" s="258" t="s">
        <v>585</v>
      </c>
    </row>
    <row r="94" spans="1:3" ht="12.75">
      <c r="A94" s="160" t="s">
        <v>207</v>
      </c>
      <c r="B94" s="239">
        <f>B68/(B68+B69)</f>
        <v>0.49258576171154556</v>
      </c>
      <c r="C94" s="86"/>
    </row>
    <row r="95" spans="1:3" ht="12.75">
      <c r="A95" s="161" t="s">
        <v>251</v>
      </c>
      <c r="B95" s="239">
        <f>1-B94</f>
        <v>0.5074142382884544</v>
      </c>
      <c r="C95" s="86"/>
    </row>
    <row r="96" spans="1:3" ht="12.75">
      <c r="A96" s="161" t="s">
        <v>505</v>
      </c>
      <c r="B96" s="240">
        <f>B47*B94</f>
        <v>6079.000885282184</v>
      </c>
      <c r="C96" s="86"/>
    </row>
    <row r="97" spans="1:3" ht="12.75">
      <c r="A97" s="161" t="s">
        <v>252</v>
      </c>
      <c r="B97" s="147">
        <f>+B47-B96</f>
        <v>6261.999114717816</v>
      </c>
      <c r="C97" s="88"/>
    </row>
    <row r="98" spans="1:3" ht="12.75">
      <c r="A98" s="163" t="s">
        <v>83</v>
      </c>
      <c r="B98" s="133"/>
      <c r="C98" s="85"/>
    </row>
    <row r="99" spans="1:3" ht="15.75">
      <c r="A99" s="144" t="s">
        <v>265</v>
      </c>
      <c r="B99" s="133"/>
      <c r="C99" s="85"/>
    </row>
    <row r="100" spans="1:3" ht="12.75">
      <c r="A100" s="125" t="s">
        <v>0</v>
      </c>
      <c r="B100" s="128"/>
      <c r="C100" s="85"/>
    </row>
    <row r="101" spans="1:3" ht="12.75">
      <c r="A101" s="127" t="s">
        <v>198</v>
      </c>
      <c r="B101" s="128">
        <f>+B6</f>
        <v>-4166</v>
      </c>
      <c r="C101" s="85"/>
    </row>
    <row r="102" spans="1:3" ht="12.75">
      <c r="A102" s="127" t="s">
        <v>199</v>
      </c>
      <c r="B102" s="128">
        <f>(ROUND(SUM(B101:B101),-1))</f>
        <v>-4170</v>
      </c>
      <c r="C102" s="85"/>
    </row>
    <row r="103" spans="1:3" ht="12.75">
      <c r="A103" s="126" t="s">
        <v>83</v>
      </c>
      <c r="B103" s="128"/>
      <c r="C103" s="85"/>
    </row>
    <row r="104" spans="1:3" ht="12.75">
      <c r="A104" s="164" t="s">
        <v>183</v>
      </c>
      <c r="B104" s="128"/>
      <c r="C104" s="85"/>
    </row>
    <row r="105" spans="1:3" ht="12.75">
      <c r="A105" s="128" t="str">
        <f>+A96</f>
        <v>Net Evaporation From Harlan County Reservoir Charged To Kansas</v>
      </c>
      <c r="B105" s="128">
        <f>+B96</f>
        <v>6079.000885282184</v>
      </c>
      <c r="C105" s="85"/>
    </row>
    <row r="106" spans="1:3" ht="12.75">
      <c r="A106" s="128" t="str">
        <f>+A91</f>
        <v>Courtland Canal Transportation Loss in NE assigned to deliveries to Lovewell that does not recharge</v>
      </c>
      <c r="B106" s="128">
        <f>+B91</f>
        <v>795.42</v>
      </c>
      <c r="C106" s="85"/>
    </row>
    <row r="107" spans="1:3" ht="12.75">
      <c r="A107" s="129" t="s">
        <v>491</v>
      </c>
      <c r="B107" s="145">
        <f>(B63)*(1-B24)</f>
        <v>12155.0916</v>
      </c>
      <c r="C107" s="85"/>
    </row>
    <row r="108" spans="1:3" ht="12.75">
      <c r="A108" s="128" t="str">
        <f>+A92</f>
        <v>Courtland Canal Transportation Loss from the Stateline to Lovewell that does not return</v>
      </c>
      <c r="B108" s="128">
        <f>+B92</f>
        <v>583.74</v>
      </c>
      <c r="C108" s="85"/>
    </row>
    <row r="109" spans="1:3" ht="12.75">
      <c r="A109" s="157" t="s">
        <v>208</v>
      </c>
      <c r="B109" s="128">
        <f>B49</f>
        <v>320</v>
      </c>
      <c r="C109" s="85"/>
    </row>
    <row r="110" spans="1:3" ht="12.75">
      <c r="A110" s="129" t="s">
        <v>492</v>
      </c>
      <c r="B110" s="145">
        <f>B66*(1-B25)</f>
        <v>14101.862575565152</v>
      </c>
      <c r="C110" s="85"/>
    </row>
    <row r="111" spans="1:3" ht="12" customHeight="1">
      <c r="A111" s="157" t="str">
        <f>'NORTH FORK'!A23</f>
        <v>SW CBCU - Irrigation - Non Federal Canals</v>
      </c>
      <c r="B111" s="145">
        <f>+B77*CanalCUPercent</f>
        <v>0</v>
      </c>
      <c r="C111" s="86"/>
    </row>
    <row r="112" spans="1:3" ht="12.75">
      <c r="A112" s="157" t="str">
        <f>'NORTH FORK'!A24</f>
        <v>SW CBCU - Irrigation - Small Pumps</v>
      </c>
      <c r="B112" s="145">
        <f>+B78*PumperCUPercent</f>
        <v>873.5250000000001</v>
      </c>
      <c r="C112" s="86"/>
    </row>
    <row r="113" spans="1:3" ht="12.75">
      <c r="A113" s="157" t="str">
        <f>'NORTH FORK'!A25</f>
        <v>SW CBCU - M&amp;I</v>
      </c>
      <c r="B113" s="145">
        <f>+B79*MI_CUPercent</f>
        <v>0</v>
      </c>
      <c r="C113" s="86"/>
    </row>
    <row r="114" spans="1:3" ht="12.75">
      <c r="A114" s="166" t="str">
        <f>A80</f>
        <v>Non-Federal Reservoir Evaporation - Kansas</v>
      </c>
      <c r="B114" s="145">
        <f>B80</f>
        <v>0</v>
      </c>
      <c r="C114" s="86"/>
    </row>
    <row r="115" spans="1:3" ht="12.75">
      <c r="A115" s="128" t="str">
        <f>'NORTH FORK'!A27</f>
        <v>SW CBCU</v>
      </c>
      <c r="B115" s="145">
        <f>SUM(B105:B114)</f>
        <v>34908.64006084734</v>
      </c>
      <c r="C115" s="86"/>
    </row>
    <row r="116" spans="1:3" ht="12.75">
      <c r="A116" s="128" t="str">
        <f>'NORTH FORK'!A28</f>
        <v>GW CBCU</v>
      </c>
      <c r="B116" s="145">
        <f>+B7</f>
        <v>141</v>
      </c>
      <c r="C116" s="86"/>
    </row>
    <row r="117" spans="1:3" ht="12.75">
      <c r="A117" s="128" t="str">
        <f>'NORTH FORK'!A29</f>
        <v>Total CBCU</v>
      </c>
      <c r="B117" s="145">
        <f>(ROUND(SUM(B115:B116),-1))</f>
        <v>35050</v>
      </c>
      <c r="C117" s="86"/>
    </row>
    <row r="118" spans="1:3" ht="12.75">
      <c r="A118" s="126" t="s">
        <v>83</v>
      </c>
      <c r="B118" s="145"/>
      <c r="C118" s="86"/>
    </row>
    <row r="119" spans="1:3" ht="12.75">
      <c r="A119" s="125" t="s">
        <v>1</v>
      </c>
      <c r="B119" s="145"/>
      <c r="C119" s="86"/>
    </row>
    <row r="120" spans="1:3" ht="12.75">
      <c r="A120" s="167" t="s">
        <v>414</v>
      </c>
      <c r="B120" s="168">
        <f>B59*(1-B23)</f>
        <v>1203.4674</v>
      </c>
      <c r="C120" s="86"/>
    </row>
    <row r="121" spans="1:3" ht="12.75">
      <c r="A121" s="167" t="s">
        <v>409</v>
      </c>
      <c r="B121" s="145">
        <f>+B56*(1-B22)</f>
        <v>4631.562000000001</v>
      </c>
      <c r="C121" s="86"/>
    </row>
    <row r="122" spans="1:3" ht="12.75">
      <c r="A122" s="167" t="s">
        <v>410</v>
      </c>
      <c r="B122" s="168">
        <f>+B55*(1-B21)</f>
        <v>1718.5289999999998</v>
      </c>
      <c r="C122" s="86"/>
    </row>
    <row r="123" spans="1:3" ht="12.75">
      <c r="A123" s="167" t="s">
        <v>411</v>
      </c>
      <c r="B123" s="168">
        <f>+B54*(1-B20)</f>
        <v>10292.563000000002</v>
      </c>
      <c r="C123" s="86"/>
    </row>
    <row r="124" spans="1:3" ht="12.75">
      <c r="A124" s="167" t="s">
        <v>412</v>
      </c>
      <c r="B124" s="168">
        <f>+B53*(1-B19)</f>
        <v>1394.9040000000002</v>
      </c>
      <c r="C124" s="86"/>
    </row>
    <row r="125" spans="1:3" ht="12.75">
      <c r="A125" s="167" t="str">
        <f>+A52</f>
        <v>Cambridge Canal Diversion</v>
      </c>
      <c r="B125" s="168">
        <f>+B52*(1-B18)</f>
        <v>10182.435999999998</v>
      </c>
      <c r="C125" s="86"/>
    </row>
    <row r="126" spans="1:3" ht="12.75">
      <c r="A126" s="167" t="str">
        <f>+A51</f>
        <v>Bartley Canal Diversion</v>
      </c>
      <c r="B126" s="168">
        <f>+B51*(1-B17)</f>
        <v>3108.4360000000006</v>
      </c>
      <c r="C126" s="86"/>
    </row>
    <row r="127" spans="1:3" ht="12.75">
      <c r="A127" s="167" t="s">
        <v>413</v>
      </c>
      <c r="B127" s="168">
        <f>+B71*(1-B13)</f>
        <v>9139.743999999999</v>
      </c>
      <c r="C127" s="86"/>
    </row>
    <row r="128" spans="1:3" ht="12.75">
      <c r="A128" s="167" t="str">
        <f>A72&amp;" "&amp;"(90%)"</f>
        <v>Red Willow Canal Diversions (90%)</v>
      </c>
      <c r="B128" s="168">
        <f>+B72*0.9*(1-B16)</f>
        <v>2405.4282000000003</v>
      </c>
      <c r="C128" s="86"/>
    </row>
    <row r="129" spans="1:3" ht="12.75">
      <c r="A129" s="157" t="str">
        <f>'NORTH FORK'!A23</f>
        <v>SW CBCU - Irrigation - Non Federal Canals</v>
      </c>
      <c r="B129" s="145">
        <f>B82*CanalCUPercent</f>
        <v>1428</v>
      </c>
      <c r="C129" s="86"/>
    </row>
    <row r="130" spans="1:3" ht="12.75">
      <c r="A130" s="157" t="str">
        <f>'NORTH FORK'!A24</f>
        <v>SW CBCU - Irrigation - Small Pumps</v>
      </c>
      <c r="B130" s="145">
        <f>B83*PumperCUPercent</f>
        <v>3802.1475</v>
      </c>
      <c r="C130" s="86"/>
    </row>
    <row r="131" spans="1:3" ht="12.75">
      <c r="A131" s="157" t="str">
        <f>'NORTH FORK'!A25</f>
        <v>SW CBCU - M&amp;I</v>
      </c>
      <c r="B131" s="145">
        <f>B84*MI_CUPercent</f>
        <v>0</v>
      </c>
      <c r="C131" s="86"/>
    </row>
    <row r="132" spans="1:3" ht="12.75">
      <c r="A132" s="165" t="str">
        <f>A46</f>
        <v>Harry Strunk Lake Evaporation</v>
      </c>
      <c r="B132" s="145">
        <f>+B46</f>
        <v>2850.4</v>
      </c>
      <c r="C132" s="86"/>
    </row>
    <row r="133" spans="1:3" ht="12.75">
      <c r="A133" s="165" t="str">
        <f>A43</f>
        <v>Swanson Lake Evaporation</v>
      </c>
      <c r="B133" s="145">
        <f>+B43</f>
        <v>4816.2</v>
      </c>
      <c r="C133" s="86"/>
    </row>
    <row r="134" spans="1:3" ht="12.75">
      <c r="A134" s="127" t="str">
        <f>A45&amp;" "&amp;"(90%)"</f>
        <v>Hugh Butler Lake Evaporation (90%)</v>
      </c>
      <c r="B134" s="145">
        <f>+B45*0.9</f>
        <v>2202.3</v>
      </c>
      <c r="C134" s="86"/>
    </row>
    <row r="135" spans="1:3" ht="12.75">
      <c r="A135" s="157" t="s">
        <v>253</v>
      </c>
      <c r="B135" s="145">
        <f>+B97</f>
        <v>6261.999114717816</v>
      </c>
      <c r="C135" s="86"/>
    </row>
    <row r="136" spans="1:3" ht="12.75">
      <c r="A136" s="126" t="str">
        <f>'NORTH FORK'!A26</f>
        <v>Non-Federal Reservoir Evaporation</v>
      </c>
      <c r="B136" s="145">
        <f>B85</f>
        <v>0</v>
      </c>
      <c r="C136" s="86"/>
    </row>
    <row r="137" spans="1:3" ht="12.75">
      <c r="A137" s="126" t="str">
        <f>'NORTH FORK'!A27</f>
        <v>SW CBCU</v>
      </c>
      <c r="B137" s="145">
        <f>SUM(B120:B136)</f>
        <v>65438.11621471782</v>
      </c>
      <c r="C137" s="86"/>
    </row>
    <row r="138" spans="1:3" ht="12.75">
      <c r="A138" s="126" t="str">
        <f>'NORTH FORK'!A28</f>
        <v>GW CBCU</v>
      </c>
      <c r="B138" s="145">
        <f>+B10</f>
        <v>80419</v>
      </c>
      <c r="C138" s="86"/>
    </row>
    <row r="139" spans="1:3" ht="12.75">
      <c r="A139" s="126" t="str">
        <f>'NORTH FORK'!A29</f>
        <v>Total CBCU</v>
      </c>
      <c r="B139" s="145">
        <f>(ROUND(SUM(B137:B138),-1))</f>
        <v>145860</v>
      </c>
      <c r="C139" s="86"/>
    </row>
    <row r="140" spans="1:3" ht="12.75">
      <c r="A140" s="129" t="s">
        <v>83</v>
      </c>
      <c r="B140" s="145"/>
      <c r="C140" s="86"/>
    </row>
    <row r="141" spans="1:3" ht="12.75">
      <c r="A141" s="130" t="s">
        <v>184</v>
      </c>
      <c r="B141" s="145"/>
      <c r="C141" s="86"/>
    </row>
    <row r="142" spans="1:3" ht="12.75">
      <c r="A142" s="129" t="str">
        <f>'NORTH FORK'!A42</f>
        <v>Total SW CBCU</v>
      </c>
      <c r="B142" s="145">
        <f>+B115+B137</f>
        <v>100346.75627556516</v>
      </c>
      <c r="C142" s="86"/>
    </row>
    <row r="143" spans="1:3" ht="12.75">
      <c r="A143" s="129" t="str">
        <f>'NORTH FORK'!A43</f>
        <v>Total GW CBCU</v>
      </c>
      <c r="B143" s="145">
        <f>+B101+B116+B138</f>
        <v>76394</v>
      </c>
      <c r="C143" s="86"/>
    </row>
    <row r="144" spans="1:3" ht="12.75">
      <c r="A144" s="129" t="str">
        <f>'NORTH FORK'!A44</f>
        <v>Total Basin CBCU</v>
      </c>
      <c r="B144" s="145">
        <f>(ROUND(SUM(B142:B143),-1))</f>
        <v>176740</v>
      </c>
      <c r="C144" s="86"/>
    </row>
    <row r="145" spans="1:3" ht="12.75">
      <c r="A145" s="129" t="s">
        <v>83</v>
      </c>
      <c r="B145" s="145"/>
      <c r="C145" s="86"/>
    </row>
    <row r="146" spans="1:3" ht="15.75">
      <c r="A146" s="131" t="s">
        <v>10</v>
      </c>
      <c r="B146" s="147"/>
      <c r="C146" s="86"/>
    </row>
    <row r="147" spans="1:3" ht="12.75">
      <c r="A147" s="133" t="str">
        <f>A29</f>
        <v>Republican River Near Hardy</v>
      </c>
      <c r="B147" s="147">
        <f>B29</f>
        <v>178139.99</v>
      </c>
      <c r="C147" s="86"/>
    </row>
    <row r="148" spans="1:3" ht="12.75">
      <c r="A148" s="133" t="str">
        <f aca="true" t="shared" si="0" ref="A148:A158">A30</f>
        <v>North Fork Republican River At Colorado-Nebraska State Line</v>
      </c>
      <c r="B148" s="147">
        <f aca="true" t="shared" si="1" ref="B148:B156">B30</f>
        <v>19751.57</v>
      </c>
      <c r="C148" s="86"/>
    </row>
    <row r="149" spans="1:3" ht="12.75">
      <c r="A149" s="133" t="str">
        <f t="shared" si="0"/>
        <v>Arikaree River At Haigler</v>
      </c>
      <c r="B149" s="147">
        <f t="shared" si="1"/>
        <v>552.74</v>
      </c>
      <c r="C149" s="86"/>
    </row>
    <row r="150" spans="1:3" ht="12.75">
      <c r="A150" s="133" t="str">
        <f t="shared" si="0"/>
        <v>Buffalo Creek Near Haigler</v>
      </c>
      <c r="B150" s="147">
        <f t="shared" si="1"/>
        <v>2998.78</v>
      </c>
      <c r="C150" s="86"/>
    </row>
    <row r="151" spans="1:3" ht="12.75">
      <c r="A151" s="133" t="str">
        <f t="shared" si="0"/>
        <v>Rock Creek At Parks</v>
      </c>
      <c r="B151" s="147">
        <f t="shared" si="1"/>
        <v>5658.13</v>
      </c>
      <c r="C151" s="86"/>
    </row>
    <row r="152" spans="1:3" ht="12.75">
      <c r="A152" s="133" t="str">
        <f t="shared" si="0"/>
        <v>South Fork Republican River Near Benkelman</v>
      </c>
      <c r="B152" s="147">
        <f t="shared" si="1"/>
        <v>3097.08</v>
      </c>
      <c r="C152" s="86"/>
    </row>
    <row r="153" spans="1:3" ht="12.75">
      <c r="A153" s="133" t="str">
        <f t="shared" si="0"/>
        <v>Frenchman Creek At Culbertson</v>
      </c>
      <c r="B153" s="147">
        <f t="shared" si="1"/>
        <v>20877.69</v>
      </c>
      <c r="C153" s="86"/>
    </row>
    <row r="154" spans="1:3" ht="12.75">
      <c r="A154" s="133" t="str">
        <f t="shared" si="0"/>
        <v>Driftwood Creek Near McCook</v>
      </c>
      <c r="B154" s="147">
        <f t="shared" si="1"/>
        <v>2589.04</v>
      </c>
      <c r="C154" s="86"/>
    </row>
    <row r="155" spans="1:3" ht="12.75">
      <c r="A155" s="133" t="str">
        <f t="shared" si="0"/>
        <v>Red Willow Creek Near Red Willow</v>
      </c>
      <c r="B155" s="147">
        <f t="shared" si="1"/>
        <v>12044.98</v>
      </c>
      <c r="C155" s="86"/>
    </row>
    <row r="156" spans="1:3" ht="12.75">
      <c r="A156" s="133" t="str">
        <f t="shared" si="0"/>
        <v>Medicine Creek Below Harry Strunk</v>
      </c>
      <c r="B156" s="147">
        <f t="shared" si="1"/>
        <v>31372.8</v>
      </c>
      <c r="C156" s="86"/>
    </row>
    <row r="157" spans="1:3" ht="12.75">
      <c r="A157" s="133" t="str">
        <f t="shared" si="0"/>
        <v>Sappa Creek Near Stamford</v>
      </c>
      <c r="B157" s="147">
        <f>B39</f>
        <v>7218.88</v>
      </c>
      <c r="C157" s="86"/>
    </row>
    <row r="158" spans="1:3" ht="12.75">
      <c r="A158" s="133" t="str">
        <f t="shared" si="0"/>
        <v>Prairie Dog Creek Near Woodruff</v>
      </c>
      <c r="B158" s="147">
        <f>B40</f>
        <v>9916.39</v>
      </c>
      <c r="C158" s="86"/>
    </row>
    <row r="159" spans="1:3" ht="12.75">
      <c r="A159" s="169"/>
      <c r="B159" s="170"/>
      <c r="C159" s="86"/>
    </row>
    <row r="160" spans="1:3" ht="12.75">
      <c r="A160" s="132" t="str">
        <f>'NORTH FORK'!A49</f>
        <v>Colorado CBCU</v>
      </c>
      <c r="B160" s="147">
        <f>+B102</f>
        <v>-4170</v>
      </c>
      <c r="C160" s="86"/>
    </row>
    <row r="161" spans="1:3" ht="12.75">
      <c r="A161" s="132" t="str">
        <f>'NORTH FORK'!A50&amp;" "&amp;"Above Stateline"</f>
        <v>Kansas CBCU Above Stateline</v>
      </c>
      <c r="B161" s="147">
        <f>B90+B91+B105+SUM(B111:B114)</f>
        <v>8479.465885282183</v>
      </c>
      <c r="C161" s="86"/>
    </row>
    <row r="162" spans="1:3" ht="12.75">
      <c r="A162" s="132" t="str">
        <f>'NORTH FORK'!A51</f>
        <v>Nebraska CBCU</v>
      </c>
      <c r="B162" s="147">
        <f>+B139</f>
        <v>145860</v>
      </c>
      <c r="C162" s="86"/>
    </row>
    <row r="163" spans="1:3" ht="12.75">
      <c r="A163" s="132"/>
      <c r="B163" s="147"/>
      <c r="C163" s="86"/>
    </row>
    <row r="164" spans="1:3" ht="12.75">
      <c r="A164" s="171" t="s">
        <v>221</v>
      </c>
      <c r="B164" s="147">
        <f>+B128</f>
        <v>2405.4282000000003</v>
      </c>
      <c r="C164" s="86"/>
    </row>
    <row r="165" spans="1:3" ht="12.75">
      <c r="A165" s="171" t="s">
        <v>209</v>
      </c>
      <c r="B165" s="147">
        <f>+B134</f>
        <v>2202.3</v>
      </c>
      <c r="C165" s="86"/>
    </row>
    <row r="166" spans="1:3" ht="12.75">
      <c r="A166" s="171" t="s">
        <v>135</v>
      </c>
      <c r="B166" s="147">
        <f>+B132</f>
        <v>2850.4</v>
      </c>
      <c r="C166" s="86"/>
    </row>
    <row r="167" spans="1:3" ht="12.75">
      <c r="A167" s="132"/>
      <c r="B167" s="147"/>
      <c r="C167" s="86"/>
    </row>
    <row r="168" spans="1:3" ht="12.75">
      <c r="A168" s="147" t="s">
        <v>417</v>
      </c>
      <c r="B168" s="147">
        <f>'MEDICINE CREEK'!B52</f>
        <v>0</v>
      </c>
      <c r="C168" s="86"/>
    </row>
    <row r="169" spans="1:3" ht="12.75">
      <c r="A169" s="147" t="s">
        <v>418</v>
      </c>
      <c r="B169" s="147">
        <f>BEAVER!B63</f>
        <v>0</v>
      </c>
      <c r="C169" s="86"/>
    </row>
    <row r="170" spans="1:3" ht="12.75">
      <c r="A170" s="147" t="s">
        <v>420</v>
      </c>
      <c r="B170" s="147">
        <f>SAPPA!B56</f>
        <v>74.69999999999999</v>
      </c>
      <c r="C170" s="86"/>
    </row>
    <row r="171" spans="1:3" ht="12.75">
      <c r="A171" s="147" t="s">
        <v>419</v>
      </c>
      <c r="B171" s="147">
        <f>'PRAIRIE DOG'!B54</f>
        <v>167.67000000000002</v>
      </c>
      <c r="C171" s="86"/>
    </row>
    <row r="172" spans="1:3" ht="12.75">
      <c r="A172" s="132"/>
      <c r="B172" s="147"/>
      <c r="C172" s="86"/>
    </row>
    <row r="173" spans="1:3" ht="12.75">
      <c r="A173" s="133" t="str">
        <f>+A48</f>
        <v>Harlan County Change In Storage</v>
      </c>
      <c r="B173" s="147">
        <f>+B48</f>
        <v>27900</v>
      </c>
      <c r="C173" s="86"/>
    </row>
    <row r="174" spans="1:3" ht="12.75">
      <c r="A174" s="133" t="str">
        <f>+A44</f>
        <v>Swanson Lake Change In Storage</v>
      </c>
      <c r="B174" s="147">
        <f>+B44</f>
        <v>-1800</v>
      </c>
      <c r="C174" s="86"/>
    </row>
    <row r="175" spans="1:3" ht="12.75">
      <c r="A175" s="171"/>
      <c r="B175" s="147"/>
      <c r="C175" s="86"/>
    </row>
    <row r="176" spans="1:3" ht="12.75">
      <c r="A176" s="172" t="s">
        <v>213</v>
      </c>
      <c r="B176" s="147">
        <f>+B75*(1-CanalCUPercent)</f>
        <v>2004.4</v>
      </c>
      <c r="C176" s="86"/>
    </row>
    <row r="177" spans="1:3" ht="12.75">
      <c r="A177" s="171" t="s">
        <v>211</v>
      </c>
      <c r="B177" s="147">
        <f>+B73*B14*0.17</f>
        <v>704.0954599999999</v>
      </c>
      <c r="C177" s="86"/>
    </row>
    <row r="178" spans="1:3" ht="12.75">
      <c r="A178" s="171" t="s">
        <v>212</v>
      </c>
      <c r="B178" s="147">
        <f>+B74*B15</f>
        <v>4319.349999999999</v>
      </c>
      <c r="C178" s="86"/>
    </row>
    <row r="179" spans="1:3" ht="12.75">
      <c r="A179" s="134" t="s">
        <v>214</v>
      </c>
      <c r="B179" s="147">
        <f>0.24*(B13*B71)</f>
        <v>2082.3014399999997</v>
      </c>
      <c r="C179" s="86"/>
    </row>
    <row r="180" spans="1:3" ht="12.75">
      <c r="A180" s="171" t="s">
        <v>210</v>
      </c>
      <c r="B180" s="147">
        <f>+B72*B16*0.9</f>
        <v>2414.0717999999997</v>
      </c>
      <c r="C180" s="88"/>
    </row>
    <row r="181" spans="1:3" ht="12.75">
      <c r="A181" s="171"/>
      <c r="B181" s="147"/>
      <c r="C181" s="88"/>
    </row>
    <row r="182" spans="1:3" ht="12.75">
      <c r="A182" s="173" t="str">
        <f>+A62</f>
        <v>Courtland Canal At Kansas-Nebraska State Line</v>
      </c>
      <c r="B182" s="162">
        <f>+B62</f>
        <v>50752</v>
      </c>
      <c r="C182" s="19"/>
    </row>
    <row r="183" spans="1:3" ht="12.75">
      <c r="A183" s="171" t="s">
        <v>167</v>
      </c>
      <c r="B183" s="174">
        <f>+B89</f>
        <v>761.28</v>
      </c>
      <c r="C183" s="19"/>
    </row>
    <row r="184" spans="1:3" ht="12.75">
      <c r="A184" s="133"/>
      <c r="B184" s="147"/>
      <c r="C184" s="86"/>
    </row>
    <row r="185" spans="1:3" ht="12.75">
      <c r="A185" s="132" t="str">
        <f>'NORTH FORK'!A52</f>
        <v>Imported Water</v>
      </c>
      <c r="B185" s="147">
        <f>+B5</f>
        <v>9016</v>
      </c>
      <c r="C185" s="151"/>
    </row>
    <row r="186" spans="1:3" ht="12.75">
      <c r="A186" s="132" t="str">
        <f>'NORTH FORK'!A53</f>
        <v>Virgin Water Supply</v>
      </c>
      <c r="B186" s="147">
        <f>B147-SUM(B148:B158)+B160+B161+B162-B164-B165-B166+SUM(B168:B171)+B173+B174-B176-B177-B178+B179-B180+B182-B183-B185</f>
        <v>264730.72186528216</v>
      </c>
      <c r="C186" s="152"/>
    </row>
    <row r="187" spans="1:3" ht="12.75">
      <c r="A187" s="132" t="str">
        <f>'NORTH FORK'!A54</f>
        <v>Adjustment For Flood Flows</v>
      </c>
      <c r="B187" s="147">
        <f>B86</f>
        <v>0</v>
      </c>
      <c r="C187" s="86"/>
    </row>
    <row r="188" spans="1:3" ht="12.75">
      <c r="A188" s="132" t="str">
        <f>'NORTH FORK'!A55</f>
        <v>Computed Water Supply</v>
      </c>
      <c r="B188" s="147">
        <f>+ROUND(B186-B187-SUM(B173:B174),-1)</f>
        <v>238630</v>
      </c>
      <c r="C188" s="86"/>
    </row>
    <row r="189" spans="1:3" ht="12.75">
      <c r="A189" s="134" t="s">
        <v>83</v>
      </c>
      <c r="B189" s="147"/>
      <c r="C189" s="86"/>
    </row>
    <row r="190" spans="1:3" ht="15.75">
      <c r="A190" s="11" t="s">
        <v>12</v>
      </c>
      <c r="B190" s="153"/>
      <c r="C190" s="86"/>
    </row>
    <row r="191" spans="1:3" ht="12.75">
      <c r="A191" s="2" t="str">
        <f>'NORTH FORK'!A58</f>
        <v>Colorado Percent Of Allocation</v>
      </c>
      <c r="B191" s="154">
        <f>'T2'!D17</f>
        <v>0</v>
      </c>
      <c r="C191" s="86"/>
    </row>
    <row r="192" spans="1:3" ht="12.75">
      <c r="A192" s="2" t="str">
        <f>'NORTH FORK'!A59</f>
        <v>Colorado Allocation</v>
      </c>
      <c r="B192" s="32">
        <f>ROUND(B188*B191,-1)</f>
        <v>0</v>
      </c>
      <c r="C192" s="86"/>
    </row>
    <row r="193" spans="1:3" ht="12.75">
      <c r="A193" s="2" t="str">
        <f>'NORTH FORK'!A60</f>
        <v>Kansas Percent Of Allocation</v>
      </c>
      <c r="B193" s="78">
        <f>'T2'!F17</f>
        <v>0.511</v>
      </c>
      <c r="C193" s="86"/>
    </row>
    <row r="194" spans="1:3" ht="12.75">
      <c r="A194" s="2" t="str">
        <f>'NORTH FORK'!A61</f>
        <v>Kansas Allocation</v>
      </c>
      <c r="B194" s="32">
        <f>ROUND(B188*B193,-1)</f>
        <v>121940</v>
      </c>
      <c r="C194" s="86"/>
    </row>
    <row r="195" spans="1:3" ht="12.75">
      <c r="A195" s="2" t="str">
        <f>'NORTH FORK'!A62</f>
        <v>Nebraska Percent Of Allocation</v>
      </c>
      <c r="B195" s="78">
        <f>'T2'!H17</f>
        <v>0.489</v>
      </c>
      <c r="C195" s="86"/>
    </row>
    <row r="196" spans="1:3" ht="12.75">
      <c r="A196" s="2" t="str">
        <f>'NORTH FORK'!A63</f>
        <v>Nebraska Allocation</v>
      </c>
      <c r="B196" s="32">
        <f>ROUND(B188*B195,-1)</f>
        <v>116690</v>
      </c>
      <c r="C196" s="86"/>
    </row>
    <row r="197" spans="1:3" ht="12.75">
      <c r="A197" s="2" t="str">
        <f>'NORTH FORK'!A64</f>
        <v>Total Basin Allocation</v>
      </c>
      <c r="B197" s="32">
        <f>+B192+B194+B196</f>
        <v>238630</v>
      </c>
      <c r="C197" s="86"/>
    </row>
    <row r="198" spans="1:3" ht="12.75">
      <c r="A198" s="2" t="str">
        <f>'NORTH FORK'!A65</f>
        <v>Percent Of Supply Not Allocated</v>
      </c>
      <c r="B198" s="16">
        <f>'T2'!J17</f>
        <v>0</v>
      </c>
      <c r="C198" s="85"/>
    </row>
    <row r="199" spans="1:3" ht="12.75">
      <c r="A199" s="2" t="str">
        <f>'NORTH FORK'!A66</f>
        <v>Quantity Of Unallocated Supply</v>
      </c>
      <c r="B199" s="4">
        <f>+B188-B192-B194-B196</f>
        <v>0</v>
      </c>
      <c r="C199" s="85"/>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61" t="s">
        <v>9</v>
      </c>
      <c r="B1" s="361"/>
      <c r="C1" s="361"/>
      <c r="D1" s="361"/>
      <c r="E1" s="361"/>
      <c r="F1" s="361"/>
      <c r="G1" s="361"/>
      <c r="H1" s="361"/>
      <c r="I1" s="361"/>
      <c r="J1" s="361"/>
    </row>
    <row r="2" spans="1:10" ht="12.75">
      <c r="A2" s="31">
        <f>+INPUT!C1</f>
        <v>2001</v>
      </c>
      <c r="B2" s="362" t="s">
        <v>10</v>
      </c>
      <c r="C2" s="362" t="s">
        <v>11</v>
      </c>
      <c r="D2" s="364" t="s">
        <v>12</v>
      </c>
      <c r="E2" s="364"/>
      <c r="F2" s="364"/>
      <c r="G2" s="364"/>
      <c r="H2" s="364" t="s">
        <v>3</v>
      </c>
      <c r="I2" s="364"/>
      <c r="J2" s="364"/>
    </row>
    <row r="3" spans="1:10" ht="12.75">
      <c r="A3" s="29" t="s">
        <v>7</v>
      </c>
      <c r="B3" s="363"/>
      <c r="C3" s="363"/>
      <c r="D3" s="21" t="s">
        <v>0</v>
      </c>
      <c r="E3" s="21" t="s">
        <v>13</v>
      </c>
      <c r="F3" s="21" t="s">
        <v>1</v>
      </c>
      <c r="G3" s="21" t="s">
        <v>2</v>
      </c>
      <c r="H3" s="21" t="s">
        <v>0</v>
      </c>
      <c r="I3" s="21" t="s">
        <v>13</v>
      </c>
      <c r="J3" s="21" t="s">
        <v>1</v>
      </c>
    </row>
    <row r="4" spans="1:10" ht="12.75">
      <c r="A4" s="22" t="s">
        <v>14</v>
      </c>
      <c r="B4" s="26">
        <f>ROUND('NORTH FORK'!B53,-1)</f>
        <v>42800</v>
      </c>
      <c r="C4" s="26">
        <f>ROUND('NORTH FORK'!B55,-1)</f>
        <v>42800</v>
      </c>
      <c r="D4" s="26">
        <f>ROUND('NORTH FORK'!B59,-1)</f>
        <v>9590</v>
      </c>
      <c r="E4" s="26">
        <f>ROUND('NORTH FORK'!B61,-1)</f>
        <v>0</v>
      </c>
      <c r="F4" s="26">
        <f>ROUND('NORTH FORK'!B63,-1)</f>
        <v>10530</v>
      </c>
      <c r="G4" s="26">
        <f>ROUND('NORTH FORK'!B66,-1)</f>
        <v>22680</v>
      </c>
      <c r="H4" s="26">
        <f>ROUND('NORTH FORK'!B29,-1)</f>
        <v>16340</v>
      </c>
      <c r="I4" s="26">
        <f>ROUND('NORTH FORK'!B33,-1)</f>
        <v>20</v>
      </c>
      <c r="J4" s="26">
        <f>ROUND('NORTH FORK'!B39,-1)</f>
        <v>4680</v>
      </c>
    </row>
    <row r="5" spans="1:10" ht="12.75">
      <c r="A5" s="22" t="s">
        <v>15</v>
      </c>
      <c r="B5" s="26">
        <f>ROUND(ARIKAREE!B65,-1)</f>
        <v>2370</v>
      </c>
      <c r="C5" s="26">
        <f>ROUND(ARIKAREE!B67,-1)</f>
        <v>2370</v>
      </c>
      <c r="D5" s="26">
        <f>+ARIKAREE!B71</f>
        <v>1860</v>
      </c>
      <c r="E5" s="26">
        <f>+ARIKAREE!B73</f>
        <v>120</v>
      </c>
      <c r="F5" s="26">
        <f>+ARIKAREE!B75</f>
        <v>400</v>
      </c>
      <c r="G5" s="26">
        <f>+ARIKAREE!B78</f>
        <v>-10</v>
      </c>
      <c r="H5" s="26">
        <f>ROUND(ARIKAREE!B34,-1)</f>
        <v>1290</v>
      </c>
      <c r="I5" s="26">
        <f>ROUND(ARIKAREE!B43,-1)</f>
        <v>190</v>
      </c>
      <c r="J5" s="26">
        <f>ROUND(ARIKAREE!B52,-1)</f>
        <v>340</v>
      </c>
    </row>
    <row r="6" spans="1:10" ht="12.75">
      <c r="A6" s="22" t="s">
        <v>16</v>
      </c>
      <c r="B6" s="26">
        <f>ROUND(BUFFALO!B56,-1)</f>
        <v>6660</v>
      </c>
      <c r="C6" s="26">
        <f>ROUND(BUFFALO!B58,-1)</f>
        <v>6660</v>
      </c>
      <c r="D6" s="26">
        <f>+BUFFALO!B62</f>
        <v>0</v>
      </c>
      <c r="E6" s="26">
        <f>+BUFFALO!B64</f>
        <v>0</v>
      </c>
      <c r="F6" s="26">
        <f>+BUFFALO!B66</f>
        <v>2200</v>
      </c>
      <c r="G6" s="26">
        <f>+BUFFALO!B69</f>
        <v>4460</v>
      </c>
      <c r="H6" s="26">
        <f>ROUND(BUFFALO!B30,-1)</f>
        <v>250</v>
      </c>
      <c r="I6" s="26">
        <f>ROUND(BUFFALO!B34,-1)</f>
        <v>0</v>
      </c>
      <c r="J6" s="26">
        <f>ROUND(BUFFALO!B43,-1)</f>
        <v>3410</v>
      </c>
    </row>
    <row r="7" spans="1:10" ht="12.75">
      <c r="A7" s="22" t="s">
        <v>5</v>
      </c>
      <c r="B7" s="26">
        <f>ROUND(ROCK!B47,-1)</f>
        <v>8930</v>
      </c>
      <c r="C7" s="26">
        <f>ROUND(ROCK!B49,-1)</f>
        <v>8930</v>
      </c>
      <c r="D7" s="26">
        <f>+ROCK!B53</f>
        <v>0</v>
      </c>
      <c r="E7" s="26">
        <f>+ROCK!B55</f>
        <v>0</v>
      </c>
      <c r="F7" s="26">
        <f>+ROCK!B57</f>
        <v>3570</v>
      </c>
      <c r="G7" s="26">
        <f>+ROCK!B60</f>
        <v>5360</v>
      </c>
      <c r="H7" s="26">
        <f>ROUND(ROCK!B21,-1)</f>
        <v>50</v>
      </c>
      <c r="I7" s="26">
        <f>ROUND(ROCK!B25,-1)</f>
        <v>0</v>
      </c>
      <c r="J7" s="26">
        <f>ROUND(ROCK!B34,-1)</f>
        <v>3220</v>
      </c>
    </row>
    <row r="8" spans="1:10" ht="12.75">
      <c r="A8" s="22" t="s">
        <v>17</v>
      </c>
      <c r="B8" s="26">
        <f>ROUND('SOUTH FORK'!B71,-1)</f>
        <v>23960</v>
      </c>
      <c r="C8" s="26">
        <f>ROUND('SOUTH FORK'!B73,-1)</f>
        <v>27160</v>
      </c>
      <c r="D8" s="26">
        <f>+'SOUTH FORK'!B77</f>
        <v>12060</v>
      </c>
      <c r="E8" s="26">
        <f>+'SOUTH FORK'!B79</f>
        <v>10920</v>
      </c>
      <c r="F8" s="26">
        <f>+'SOUTH FORK'!B81</f>
        <v>380</v>
      </c>
      <c r="G8" s="26">
        <f>+'SOUTH FORK'!B84</f>
        <v>3800</v>
      </c>
      <c r="H8" s="26">
        <f>ROUND('SOUTH FORK'!B39,-1)</f>
        <v>15920</v>
      </c>
      <c r="I8" s="26">
        <f>ROUND('SOUTH FORK'!B48,-1)</f>
        <v>7500</v>
      </c>
      <c r="J8" s="26">
        <f>ROUND('SOUTH FORK'!B57,-1)</f>
        <v>640</v>
      </c>
    </row>
    <row r="9" spans="1:10" ht="12.75">
      <c r="A9" s="22" t="s">
        <v>18</v>
      </c>
      <c r="B9" s="26">
        <f>ROUND(FRENCHMAN!B65,-1)</f>
        <v>116490</v>
      </c>
      <c r="C9" s="26">
        <f>ROUND(FRENCHMAN!B67,-1)</f>
        <v>117690</v>
      </c>
      <c r="D9" s="26">
        <f>+FRENCHMAN!B71</f>
        <v>0</v>
      </c>
      <c r="E9" s="26">
        <f>+FRENCHMAN!B73</f>
        <v>0</v>
      </c>
      <c r="F9" s="26">
        <f>+FRENCHMAN!B75</f>
        <v>63080</v>
      </c>
      <c r="G9" s="26">
        <f>+FRENCHMAN!B78</f>
        <v>54610</v>
      </c>
      <c r="H9" s="26">
        <f>ROUND(FRENCHMAN!B31,-1)</f>
        <v>570</v>
      </c>
      <c r="I9" s="26">
        <f>ROUND(FRENCHMAN!B35,-1)</f>
        <v>0</v>
      </c>
      <c r="J9" s="26">
        <f>ROUND(FRENCHMAN!B49,-1)</f>
        <v>91220</v>
      </c>
    </row>
    <row r="10" spans="1:10" ht="12.75">
      <c r="A10" s="22" t="s">
        <v>19</v>
      </c>
      <c r="B10" s="26">
        <f>ROUND(DRIFTWOOD!B61,-1)</f>
        <v>1730</v>
      </c>
      <c r="C10" s="26">
        <f>ROUND(DRIFTWOOD!B63,-1)</f>
        <v>1730</v>
      </c>
      <c r="D10" s="26">
        <f>+DRIFTWOOD!B67</f>
        <v>0</v>
      </c>
      <c r="E10" s="26">
        <f>+DRIFTWOOD!B69</f>
        <v>120</v>
      </c>
      <c r="F10" s="26">
        <f>+DRIFTWOOD!B71</f>
        <v>280</v>
      </c>
      <c r="G10" s="26">
        <f>+DRIFTWOOD!B74</f>
        <v>1330</v>
      </c>
      <c r="H10" s="26">
        <f>ROUND(DRIFTWOOD!B29,-1)</f>
        <v>0</v>
      </c>
      <c r="I10" s="26">
        <f>ROUND(DRIFTWOOD!B38,-1)</f>
        <v>0</v>
      </c>
      <c r="J10" s="26">
        <f>ROUND(DRIFTWOOD!B47,-1)</f>
        <v>1220</v>
      </c>
    </row>
    <row r="11" spans="1:10" ht="12.75">
      <c r="A11" s="22" t="s">
        <v>20</v>
      </c>
      <c r="B11" s="26">
        <f>ROUND('RED WILLOW'!B59,-1)</f>
        <v>21940</v>
      </c>
      <c r="C11" s="26">
        <f>ROUND('RED WILLOW'!B61,-1)</f>
        <v>27440</v>
      </c>
      <c r="D11" s="26">
        <f>+'RED WILLOW'!B65</f>
        <v>0</v>
      </c>
      <c r="E11" s="26">
        <f>+'RED WILLOW'!B67</f>
        <v>0</v>
      </c>
      <c r="F11" s="26">
        <f>+'RED WILLOW'!B69</f>
        <v>5270</v>
      </c>
      <c r="G11" s="26">
        <f>+'RED WILLOW'!B72</f>
        <v>22170</v>
      </c>
      <c r="H11" s="26">
        <f>ROUND('RED WILLOW'!B27,-1)</f>
        <v>0</v>
      </c>
      <c r="I11" s="26">
        <f>ROUND('RED WILLOW'!B31,-1)</f>
        <v>0</v>
      </c>
      <c r="J11" s="26">
        <f>ROUND('RED WILLOW'!B42,-1)</f>
        <v>8400</v>
      </c>
    </row>
    <row r="12" spans="1:10" ht="12.75">
      <c r="A12" s="22" t="s">
        <v>21</v>
      </c>
      <c r="B12" s="26">
        <f>ROUND('MEDICINE CREEK'!B64,-1)</f>
        <v>53900</v>
      </c>
      <c r="C12" s="26">
        <f>ROUND('MEDICINE CREEK'!B66,-1)</f>
        <v>53800</v>
      </c>
      <c r="D12" s="26">
        <f>+'MEDICINE CREEK'!B70</f>
        <v>0</v>
      </c>
      <c r="E12" s="26">
        <f>+'MEDICINE CREEK'!B72</f>
        <v>0</v>
      </c>
      <c r="F12" s="26">
        <f>+'MEDICINE CREEK'!B74</f>
        <v>4900</v>
      </c>
      <c r="G12" s="26">
        <f>+'MEDICINE CREEK'!B77</f>
        <v>48900</v>
      </c>
      <c r="H12" s="26">
        <f>ROUND('MEDICINE CREEK'!B27,-1)</f>
        <v>0</v>
      </c>
      <c r="I12" s="26">
        <f>ROUND('MEDICINE CREEK'!B31,-1)</f>
        <v>0</v>
      </c>
      <c r="J12" s="26">
        <f>ROUND('MEDICINE CREEK'!B44,-1)</f>
        <v>28770</v>
      </c>
    </row>
    <row r="13" spans="1:10" ht="12.75">
      <c r="A13" s="22" t="s">
        <v>22</v>
      </c>
      <c r="B13" s="26">
        <f>ROUND(BEAVER!B78,-1)</f>
        <v>7480</v>
      </c>
      <c r="C13" s="26">
        <f>ROUND(BEAVER!B80,-1)</f>
        <v>7480</v>
      </c>
      <c r="D13" s="26">
        <f>+BEAVER!B84</f>
        <v>1500</v>
      </c>
      <c r="E13" s="26">
        <f>+BEAVER!B86</f>
        <v>2900</v>
      </c>
      <c r="F13" s="26">
        <f>+BEAVER!B88</f>
        <v>3040</v>
      </c>
      <c r="G13" s="26">
        <f>+BEAVER!B91</f>
        <v>40</v>
      </c>
      <c r="H13" s="26">
        <f>ROUND(BEAVER!B38,-1)</f>
        <v>0</v>
      </c>
      <c r="I13" s="26">
        <f>ROUND(BEAVER!B47,-1)</f>
        <v>3560</v>
      </c>
      <c r="J13" s="26">
        <f>ROUND(BEAVER!B60,-1)</f>
        <v>3080</v>
      </c>
    </row>
    <row r="14" spans="1:10" ht="12.75">
      <c r="A14" s="22" t="s">
        <v>23</v>
      </c>
      <c r="B14" s="26">
        <f>ROUND(SAPPA!B72,-1)</f>
        <v>6720</v>
      </c>
      <c r="C14" s="26">
        <f>ROUND(SAPPA!B74,-1)</f>
        <v>6720</v>
      </c>
      <c r="D14" s="26">
        <f>+SAPPA!B78</f>
        <v>0</v>
      </c>
      <c r="E14" s="26">
        <f>+SAPPA!B80</f>
        <v>2760</v>
      </c>
      <c r="F14" s="26">
        <f>+SAPPA!B82</f>
        <v>2760</v>
      </c>
      <c r="G14" s="26">
        <f>+SAPPA!B85</f>
        <v>1200</v>
      </c>
      <c r="H14" s="26">
        <f>ROUND(SAPPA!B30,-1)</f>
        <v>0</v>
      </c>
      <c r="I14" s="26">
        <f>ROUND(SAPPA!B39,-1)</f>
        <v>-890</v>
      </c>
      <c r="J14" s="26">
        <f>ROUND(SAPPA!B53,-1)</f>
        <v>1310</v>
      </c>
    </row>
    <row r="15" spans="1:10" ht="12.75">
      <c r="A15" s="22" t="s">
        <v>24</v>
      </c>
      <c r="B15" s="26">
        <f>ROUND('PRAIRIE DOG'!B70,-1)</f>
        <v>18310</v>
      </c>
      <c r="C15" s="26">
        <f>ROUND('PRAIRIE DOG'!B72,-1)</f>
        <v>19110</v>
      </c>
      <c r="D15" s="26">
        <f>+'PRAIRIE DOG'!B76</f>
        <v>0</v>
      </c>
      <c r="E15" s="26">
        <f>+'PRAIRIE DOG'!B78</f>
        <v>8730</v>
      </c>
      <c r="F15" s="26">
        <f>+'PRAIRIE DOG'!B80</f>
        <v>1450</v>
      </c>
      <c r="G15" s="26">
        <f>+'PRAIRIE DOG'!B83</f>
        <v>8930</v>
      </c>
      <c r="H15" s="26">
        <f>ROUND('PRAIRIE DOG'!B31,-1)</f>
        <v>0</v>
      </c>
      <c r="I15" s="26">
        <f>ROUND('PRAIRIE DOG'!B42,-1)</f>
        <v>9190</v>
      </c>
      <c r="J15" s="100">
        <f>ROUND('PRAIRIE DOG'!B66,-1)</f>
        <v>170</v>
      </c>
    </row>
    <row r="16" spans="1:10" ht="13.5" thickBot="1">
      <c r="A16" s="23" t="s">
        <v>6</v>
      </c>
      <c r="B16" s="27">
        <f>ROUND(MAINSTEM!B186,-1)</f>
        <v>264730</v>
      </c>
      <c r="C16" s="27">
        <f>ROUND(MAINSTEM!B188,-1)</f>
        <v>238630</v>
      </c>
      <c r="D16" s="27">
        <f>+MAINSTEM!B192</f>
        <v>0</v>
      </c>
      <c r="E16" s="27">
        <f>+MAINSTEM!B194</f>
        <v>121940</v>
      </c>
      <c r="F16" s="27">
        <f>+MAINSTEM!B196</f>
        <v>116690</v>
      </c>
      <c r="G16" s="27">
        <f>+MAINSTEM!B199</f>
        <v>0</v>
      </c>
      <c r="H16" s="27">
        <f>ROUND(MAINSTEM!B102,-1)</f>
        <v>-4170</v>
      </c>
      <c r="I16" s="27">
        <f>ROUND(MAINSTEM!B117,-1)</f>
        <v>35050</v>
      </c>
      <c r="J16" s="27">
        <f>ROUND(MAINSTEM!B139,-1)</f>
        <v>145860</v>
      </c>
    </row>
    <row r="17" spans="1:11" ht="13.5" thickTop="1">
      <c r="A17" s="24" t="s">
        <v>8</v>
      </c>
      <c r="B17" s="28">
        <f>SUM(B4:B16)</f>
        <v>576020</v>
      </c>
      <c r="C17" s="28">
        <f aca="true" t="shared" si="0" ref="C17:J17">SUM(C4:C16)</f>
        <v>560520</v>
      </c>
      <c r="D17" s="28">
        <f t="shared" si="0"/>
        <v>25010</v>
      </c>
      <c r="E17" s="28">
        <f t="shared" si="0"/>
        <v>147490</v>
      </c>
      <c r="F17" s="28">
        <f t="shared" si="0"/>
        <v>214550</v>
      </c>
      <c r="G17" s="28">
        <f t="shared" si="0"/>
        <v>173470</v>
      </c>
      <c r="H17" s="28">
        <f t="shared" si="0"/>
        <v>30250</v>
      </c>
      <c r="I17" s="28">
        <f t="shared" si="0"/>
        <v>54620</v>
      </c>
      <c r="J17" s="28">
        <f t="shared" si="0"/>
        <v>292320</v>
      </c>
      <c r="K17" s="36"/>
    </row>
    <row r="18" spans="1:10" ht="35.25" customHeight="1" thickBot="1">
      <c r="A18" s="25" t="s">
        <v>25</v>
      </c>
      <c r="B18" s="27"/>
      <c r="C18" s="27">
        <f>+C16+G17</f>
        <v>412100</v>
      </c>
      <c r="D18" s="27">
        <f>+D16</f>
        <v>0</v>
      </c>
      <c r="E18" s="27">
        <f>E16+ROUND(G17*0.511,-1)</f>
        <v>210580</v>
      </c>
      <c r="F18" s="27">
        <f>F16+ROUND(G17*0.489,-1)</f>
        <v>201520</v>
      </c>
      <c r="G18" s="27"/>
      <c r="H18" s="27"/>
      <c r="I18" s="27"/>
      <c r="J18" s="27"/>
    </row>
    <row r="19" spans="1:11" ht="13.5" thickTop="1">
      <c r="A19" s="24" t="s">
        <v>4</v>
      </c>
      <c r="B19" s="28">
        <f>SUM(B4:B16)</f>
        <v>576020</v>
      </c>
      <c r="C19" s="28">
        <f>SUM(C4:C16)</f>
        <v>560520</v>
      </c>
      <c r="D19" s="28">
        <f>SUM(D4:D15,D18)</f>
        <v>25010</v>
      </c>
      <c r="E19" s="28">
        <f>SUM(E4:E15,E18)</f>
        <v>236130</v>
      </c>
      <c r="F19" s="28">
        <f>SUM(F4:F15,F18)</f>
        <v>299380</v>
      </c>
      <c r="G19" s="28">
        <f>+G18</f>
        <v>0</v>
      </c>
      <c r="H19" s="28">
        <f>SUM(H4:H16)</f>
        <v>30250</v>
      </c>
      <c r="I19" s="28">
        <f>SUM(I4:I16)</f>
        <v>54620</v>
      </c>
      <c r="J19" s="28">
        <f>SUM(J4:J16)</f>
        <v>292320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65" t="s">
        <v>26</v>
      </c>
      <c r="B1" s="365"/>
      <c r="C1" s="365"/>
      <c r="D1" s="365"/>
      <c r="E1" s="365"/>
      <c r="F1" s="365"/>
      <c r="G1" s="365"/>
      <c r="H1" s="365"/>
      <c r="I1" s="365"/>
      <c r="J1" s="365"/>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3">
      <selection activeCell="C23" sqref="C23"/>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66" t="s">
        <v>33</v>
      </c>
      <c r="B1" s="366"/>
      <c r="C1" s="366"/>
      <c r="D1" s="366"/>
      <c r="E1" s="366"/>
    </row>
    <row r="2" spans="1:5" ht="24.75" customHeight="1">
      <c r="A2" s="42" t="s">
        <v>34</v>
      </c>
      <c r="B2" s="42" t="s">
        <v>35</v>
      </c>
      <c r="C2" s="42" t="s">
        <v>3</v>
      </c>
      <c r="D2" s="42" t="s">
        <v>36</v>
      </c>
      <c r="E2" s="221" t="s">
        <v>532</v>
      </c>
    </row>
    <row r="3" spans="1:5" ht="24.75" customHeight="1">
      <c r="A3" s="70">
        <v>2001</v>
      </c>
      <c r="B3" s="71">
        <f>'T1'!D19</f>
        <v>25010</v>
      </c>
      <c r="C3" s="71">
        <f>'T1'!H19</f>
        <v>30250</v>
      </c>
      <c r="D3" s="71" t="s">
        <v>421</v>
      </c>
      <c r="E3" s="71">
        <f>+B3-C3</f>
        <v>-5240</v>
      </c>
    </row>
    <row r="4" spans="1:5" ht="24.75" customHeight="1">
      <c r="A4" s="70">
        <f>A3+1</f>
        <v>2002</v>
      </c>
      <c r="B4" s="353"/>
      <c r="C4" s="353"/>
      <c r="D4" s="71" t="s">
        <v>421</v>
      </c>
      <c r="E4" s="353"/>
    </row>
    <row r="5" spans="1:5" ht="24.75" customHeight="1">
      <c r="A5" s="70">
        <f>A4+1</f>
        <v>2003</v>
      </c>
      <c r="B5" s="71"/>
      <c r="C5" s="71"/>
      <c r="D5" s="71" t="s">
        <v>421</v>
      </c>
      <c r="E5" s="71"/>
    </row>
    <row r="6" spans="1:5" ht="24.75" customHeight="1">
      <c r="A6" s="70">
        <f>A5+1</f>
        <v>2004</v>
      </c>
      <c r="B6" s="71"/>
      <c r="C6" s="71"/>
      <c r="D6" s="71" t="s">
        <v>421</v>
      </c>
      <c r="E6" s="71"/>
    </row>
    <row r="7" spans="1:5" ht="24.75" customHeight="1" thickBot="1">
      <c r="A7" s="70">
        <f>A6+1</f>
        <v>2005</v>
      </c>
      <c r="B7" s="72"/>
      <c r="C7" s="72"/>
      <c r="D7" s="72" t="s">
        <v>421</v>
      </c>
      <c r="E7" s="72"/>
    </row>
    <row r="8" spans="1:5" ht="24.75" customHeight="1" thickTop="1">
      <c r="A8" s="74" t="s">
        <v>37</v>
      </c>
      <c r="B8" s="75">
        <f>ROUND(+AVERAGE(B3:B7),-1)</f>
        <v>25010</v>
      </c>
      <c r="C8" s="75">
        <f>ROUND(+AVERAGE(C3:C7),-1)</f>
        <v>30250</v>
      </c>
      <c r="D8" s="75"/>
      <c r="E8" s="75">
        <f>ROUND(+AVERAGE(E3:E7),-1)</f>
        <v>-5240</v>
      </c>
    </row>
    <row r="9" ht="24.75" customHeight="1"/>
    <row r="10" spans="1:5" ht="24.75" customHeight="1">
      <c r="A10" s="366" t="s">
        <v>38</v>
      </c>
      <c r="B10" s="366"/>
      <c r="C10" s="366"/>
      <c r="D10" s="366"/>
      <c r="E10" s="366"/>
    </row>
    <row r="11" spans="1:5" ht="24.75" customHeight="1">
      <c r="A11" s="42" t="s">
        <v>34</v>
      </c>
      <c r="B11" s="42" t="s">
        <v>35</v>
      </c>
      <c r="C11" s="42" t="s">
        <v>3</v>
      </c>
      <c r="D11" s="42" t="s">
        <v>36</v>
      </c>
      <c r="E11" s="221" t="s">
        <v>532</v>
      </c>
    </row>
    <row r="12" spans="1:5" ht="24.75" customHeight="1">
      <c r="A12" s="70">
        <v>2001</v>
      </c>
      <c r="B12" s="71">
        <f>'T1'!E19</f>
        <v>236130</v>
      </c>
      <c r="C12" s="71">
        <f>'T1'!I19</f>
        <v>54620</v>
      </c>
      <c r="D12" s="71" t="s">
        <v>421</v>
      </c>
      <c r="E12" s="71">
        <f>+B12-C12</f>
        <v>181510</v>
      </c>
    </row>
    <row r="13" spans="1:5" ht="24.75" customHeight="1">
      <c r="A13" s="70">
        <f>A12+1</f>
        <v>2002</v>
      </c>
      <c r="B13" s="353"/>
      <c r="C13" s="353"/>
      <c r="D13" s="71" t="s">
        <v>421</v>
      </c>
      <c r="E13" s="353"/>
    </row>
    <row r="14" spans="1:5" ht="24.75" customHeight="1">
      <c r="A14" s="70">
        <f>A13+1</f>
        <v>2003</v>
      </c>
      <c r="B14" s="71"/>
      <c r="C14" s="71"/>
      <c r="D14" s="71" t="s">
        <v>421</v>
      </c>
      <c r="E14" s="71"/>
    </row>
    <row r="15" spans="1:5" ht="24.75" customHeight="1">
      <c r="A15" s="70">
        <f>A14+1</f>
        <v>2004</v>
      </c>
      <c r="B15" s="71"/>
      <c r="C15" s="71"/>
      <c r="D15" s="71" t="s">
        <v>421</v>
      </c>
      <c r="E15" s="71"/>
    </row>
    <row r="16" spans="1:5" ht="24.75" customHeight="1" thickBot="1">
      <c r="A16" s="70">
        <f>A15+1</f>
        <v>2005</v>
      </c>
      <c r="B16" s="72"/>
      <c r="C16" s="72"/>
      <c r="D16" s="72" t="s">
        <v>421</v>
      </c>
      <c r="E16" s="72"/>
    </row>
    <row r="17" spans="1:5" ht="24.75" customHeight="1" thickTop="1">
      <c r="A17" s="74" t="s">
        <v>37</v>
      </c>
      <c r="B17" s="75">
        <f>ROUND(+AVERAGE(B12:B16),-1)</f>
        <v>236130</v>
      </c>
      <c r="C17" s="75">
        <f>ROUND(+AVERAGE(C12:C16),-1)</f>
        <v>54620</v>
      </c>
      <c r="D17" s="75"/>
      <c r="E17" s="75">
        <f>ROUND(+AVERAGE(E12:E16),-1)</f>
        <v>181510</v>
      </c>
    </row>
    <row r="18" ht="24.75" customHeight="1"/>
    <row r="19" spans="1:5" ht="24.75" customHeight="1">
      <c r="A19" s="366" t="s">
        <v>39</v>
      </c>
      <c r="B19" s="366"/>
      <c r="C19" s="366"/>
      <c r="D19" s="366"/>
      <c r="E19" s="366"/>
    </row>
    <row r="20" spans="1:5" ht="24.75" customHeight="1">
      <c r="A20" s="42" t="s">
        <v>34</v>
      </c>
      <c r="B20" s="42" t="s">
        <v>35</v>
      </c>
      <c r="C20" s="42" t="s">
        <v>3</v>
      </c>
      <c r="D20" s="42" t="s">
        <v>36</v>
      </c>
      <c r="E20" s="42" t="s">
        <v>532</v>
      </c>
    </row>
    <row r="21" spans="1:5" ht="24.75" customHeight="1">
      <c r="A21" s="70">
        <v>2001</v>
      </c>
      <c r="B21" s="71">
        <f>'T1'!F19</f>
        <v>299380</v>
      </c>
      <c r="C21" s="71">
        <f>'T1'!J19</f>
        <v>292320</v>
      </c>
      <c r="D21" s="71">
        <f>INPUT!C60</f>
        <v>18242</v>
      </c>
      <c r="E21" s="71">
        <f>+B21-(C21-D21)</f>
        <v>25302</v>
      </c>
    </row>
    <row r="22" spans="1:5" ht="24.75" customHeight="1">
      <c r="A22" s="70">
        <f>A21+1</f>
        <v>2002</v>
      </c>
      <c r="B22" s="353"/>
      <c r="C22" s="353"/>
      <c r="D22" s="353"/>
      <c r="E22" s="353"/>
    </row>
    <row r="23" spans="1:5" ht="24.75" customHeight="1">
      <c r="A23" s="70">
        <f>A22+1</f>
        <v>2003</v>
      </c>
      <c r="B23" s="71"/>
      <c r="C23" s="71"/>
      <c r="D23" s="71"/>
      <c r="E23" s="71"/>
    </row>
    <row r="24" spans="1:5" ht="24.75" customHeight="1">
      <c r="A24" s="70">
        <f>A23+1</f>
        <v>2004</v>
      </c>
      <c r="B24" s="71"/>
      <c r="C24" s="71"/>
      <c r="D24" s="71"/>
      <c r="E24" s="71"/>
    </row>
    <row r="25" spans="1:5" ht="24.75" customHeight="1" thickBot="1">
      <c r="A25" s="70">
        <f>A24+1</f>
        <v>2005</v>
      </c>
      <c r="B25" s="72"/>
      <c r="C25" s="72"/>
      <c r="D25" s="73"/>
      <c r="E25" s="73"/>
    </row>
    <row r="26" spans="1:5" ht="24.75" customHeight="1" thickTop="1">
      <c r="A26" s="74" t="s">
        <v>37</v>
      </c>
      <c r="B26" s="75">
        <f>ROUND(+AVERAGE(B21:B25),-1)</f>
        <v>299380</v>
      </c>
      <c r="C26" s="75">
        <f>ROUND(+AVERAGE(C21:C25),-1)</f>
        <v>292320</v>
      </c>
      <c r="D26" s="75">
        <f>ROUND(+AVERAGE(D21:D25),-1)</f>
        <v>18240</v>
      </c>
      <c r="E26" s="75">
        <f>ROUND(+AVERAGE(E21:E25),-1)</f>
        <v>25300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67" t="s">
        <v>40</v>
      </c>
      <c r="B1" s="367"/>
      <c r="C1" s="367"/>
      <c r="D1" s="367"/>
      <c r="E1" s="367"/>
      <c r="F1" s="367"/>
      <c r="G1" s="367"/>
    </row>
    <row r="2" spans="1:7" ht="49.5" customHeight="1">
      <c r="A2" s="42" t="s">
        <v>7</v>
      </c>
      <c r="B2" s="42" t="s">
        <v>41</v>
      </c>
      <c r="C2" s="42" t="s">
        <v>42</v>
      </c>
      <c r="D2" s="42" t="s">
        <v>43</v>
      </c>
      <c r="E2" s="42" t="s">
        <v>44</v>
      </c>
      <c r="F2" s="42" t="s">
        <v>45</v>
      </c>
      <c r="G2" s="42" t="s">
        <v>46</v>
      </c>
    </row>
    <row r="3" spans="1:7" ht="19.5" customHeight="1">
      <c r="A3" s="43" t="s">
        <v>14</v>
      </c>
      <c r="B3" s="47"/>
      <c r="C3" s="47"/>
      <c r="D3" s="218" t="s">
        <v>421</v>
      </c>
      <c r="E3" s="47">
        <f>+B3+C3</f>
        <v>0</v>
      </c>
      <c r="F3" s="47"/>
      <c r="G3" s="47">
        <f>+E3-F3</f>
        <v>0</v>
      </c>
    </row>
    <row r="4" spans="1:7" ht="19.5" customHeight="1">
      <c r="A4" s="43" t="s">
        <v>15</v>
      </c>
      <c r="B4" s="47"/>
      <c r="C4" s="47"/>
      <c r="D4" s="218" t="s">
        <v>421</v>
      </c>
      <c r="E4" s="47">
        <f>+B4+C4</f>
        <v>0</v>
      </c>
      <c r="F4" s="47"/>
      <c r="G4" s="47">
        <f>+E4-F4</f>
        <v>0</v>
      </c>
    </row>
    <row r="5" spans="1:7" ht="19.5" customHeight="1">
      <c r="A5" s="43" t="s">
        <v>17</v>
      </c>
      <c r="B5" s="47"/>
      <c r="C5" s="47"/>
      <c r="D5" s="218" t="s">
        <v>421</v>
      </c>
      <c r="E5" s="47">
        <f>+B5+C5</f>
        <v>0</v>
      </c>
      <c r="F5" s="47"/>
      <c r="G5" s="47">
        <f>+E5-F5</f>
        <v>0</v>
      </c>
    </row>
    <row r="6" spans="1:7" ht="19.5" customHeight="1">
      <c r="A6" s="43" t="s">
        <v>22</v>
      </c>
      <c r="B6" s="47"/>
      <c r="C6" s="47"/>
      <c r="D6" s="218" t="s">
        <v>421</v>
      </c>
      <c r="E6" s="47">
        <f>+B6+C6</f>
        <v>0</v>
      </c>
      <c r="F6" s="47"/>
      <c r="G6" s="47">
        <f>+E6-F6</f>
        <v>0</v>
      </c>
    </row>
    <row r="8" spans="1:7" ht="12.75">
      <c r="A8" s="367" t="s">
        <v>47</v>
      </c>
      <c r="B8" s="367"/>
      <c r="C8" s="367"/>
      <c r="D8" s="367"/>
      <c r="E8" s="367"/>
      <c r="F8" s="367"/>
      <c r="G8" s="367"/>
    </row>
    <row r="9" spans="1:8" ht="54.75" customHeight="1">
      <c r="A9" s="42" t="s">
        <v>7</v>
      </c>
      <c r="B9" s="42" t="s">
        <v>41</v>
      </c>
      <c r="C9" s="42" t="s">
        <v>42</v>
      </c>
      <c r="D9" s="217" t="s">
        <v>527</v>
      </c>
      <c r="E9" s="42" t="s">
        <v>43</v>
      </c>
      <c r="F9" s="42" t="s">
        <v>528</v>
      </c>
      <c r="G9" s="42" t="s">
        <v>45</v>
      </c>
      <c r="H9" s="42" t="s">
        <v>46</v>
      </c>
    </row>
    <row r="10" spans="1:8" ht="19.5" customHeight="1">
      <c r="A10" s="43" t="s">
        <v>15</v>
      </c>
      <c r="B10" s="47"/>
      <c r="C10" s="47"/>
      <c r="D10" s="2"/>
      <c r="E10" s="218" t="s">
        <v>421</v>
      </c>
      <c r="F10" s="47">
        <f aca="true" t="shared" si="0" ref="F10:F15">+B10+C10+D10</f>
        <v>0</v>
      </c>
      <c r="G10" s="47"/>
      <c r="H10" s="47">
        <f aca="true" t="shared" si="1" ref="H10:H15">+F10-G10</f>
        <v>0</v>
      </c>
    </row>
    <row r="11" spans="1:8" ht="19.5" customHeight="1">
      <c r="A11" s="43" t="s">
        <v>17</v>
      </c>
      <c r="B11" s="47"/>
      <c r="C11" s="47"/>
      <c r="D11" s="2"/>
      <c r="E11" s="218" t="s">
        <v>421</v>
      </c>
      <c r="F11" s="47">
        <f t="shared" si="0"/>
        <v>0</v>
      </c>
      <c r="G11" s="47"/>
      <c r="H11" s="47">
        <f t="shared" si="1"/>
        <v>0</v>
      </c>
    </row>
    <row r="12" spans="1:8" ht="19.5" customHeight="1">
      <c r="A12" s="43" t="s">
        <v>19</v>
      </c>
      <c r="B12" s="47"/>
      <c r="C12" s="47"/>
      <c r="D12" s="2"/>
      <c r="E12" s="218" t="s">
        <v>421</v>
      </c>
      <c r="F12" s="47">
        <f t="shared" si="0"/>
        <v>0</v>
      </c>
      <c r="G12" s="47"/>
      <c r="H12" s="47">
        <f t="shared" si="1"/>
        <v>0</v>
      </c>
    </row>
    <row r="13" spans="1:8" ht="19.5" customHeight="1">
      <c r="A13" s="43" t="s">
        <v>22</v>
      </c>
      <c r="B13" s="47"/>
      <c r="C13" s="47"/>
      <c r="D13" s="2"/>
      <c r="E13" s="218" t="s">
        <v>421</v>
      </c>
      <c r="F13" s="47">
        <f t="shared" si="0"/>
        <v>0</v>
      </c>
      <c r="G13" s="47"/>
      <c r="H13" s="47">
        <f t="shared" si="1"/>
        <v>0</v>
      </c>
    </row>
    <row r="14" spans="1:8" ht="19.5" customHeight="1">
      <c r="A14" s="43" t="s">
        <v>23</v>
      </c>
      <c r="B14" s="47"/>
      <c r="C14" s="47"/>
      <c r="D14" s="2"/>
      <c r="E14" s="218" t="s">
        <v>421</v>
      </c>
      <c r="F14" s="47">
        <f t="shared" si="0"/>
        <v>0</v>
      </c>
      <c r="G14" s="47"/>
      <c r="H14" s="47">
        <f t="shared" si="1"/>
        <v>0</v>
      </c>
    </row>
    <row r="15" spans="1:8" ht="19.5" customHeight="1">
      <c r="A15" s="43" t="s">
        <v>24</v>
      </c>
      <c r="B15" s="47"/>
      <c r="C15" s="47"/>
      <c r="D15" s="2"/>
      <c r="E15" s="218" t="s">
        <v>421</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AA27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2" sqref="F2"/>
    </sheetView>
  </sheetViews>
  <sheetFormatPr defaultColWidth="9.140625" defaultRowHeight="12.75"/>
  <cols>
    <col min="1" max="1" width="16.57421875" style="0" customWidth="1"/>
    <col min="2" max="2" width="63.7109375" style="0" customWidth="1"/>
    <col min="3" max="3" width="8.421875" style="247" customWidth="1"/>
    <col min="4" max="27" width="9.140625" style="65" customWidth="1"/>
  </cols>
  <sheetData>
    <row r="1" spans="1:4" ht="12.75">
      <c r="A1" s="5" t="s">
        <v>95</v>
      </c>
      <c r="B1" s="5"/>
      <c r="C1" s="116">
        <v>2001</v>
      </c>
      <c r="D1" s="116">
        <v>2000</v>
      </c>
    </row>
    <row r="2" ht="12.75">
      <c r="D2" s="247"/>
    </row>
    <row r="3" spans="1:4" ht="12.75">
      <c r="A3" s="5" t="s">
        <v>96</v>
      </c>
      <c r="B3" s="14"/>
      <c r="D3" s="247"/>
    </row>
    <row r="4" spans="1:4" ht="12.75">
      <c r="A4" s="56" t="s">
        <v>82</v>
      </c>
      <c r="B4" s="57" t="s">
        <v>216</v>
      </c>
      <c r="C4" s="344">
        <f>GM_output!B9</f>
        <v>13534</v>
      </c>
      <c r="D4" s="344">
        <v>13173</v>
      </c>
    </row>
    <row r="5" spans="1:4" ht="12.75">
      <c r="A5" s="56" t="s">
        <v>83</v>
      </c>
      <c r="B5" s="57" t="s">
        <v>217</v>
      </c>
      <c r="C5" s="344">
        <f>GM_output!C9</f>
        <v>18</v>
      </c>
      <c r="D5" s="344">
        <v>15</v>
      </c>
    </row>
    <row r="6" spans="1:4" ht="12.75">
      <c r="A6" s="56"/>
      <c r="B6" s="57" t="s">
        <v>220</v>
      </c>
      <c r="C6" s="344">
        <f>GM_output!D9</f>
        <v>1676</v>
      </c>
      <c r="D6" s="344">
        <v>1156</v>
      </c>
    </row>
    <row r="7" spans="1:4" ht="12.75">
      <c r="A7" t="s">
        <v>84</v>
      </c>
      <c r="B7" s="2" t="s">
        <v>216</v>
      </c>
      <c r="C7" s="348">
        <f>GM_output!B4</f>
        <v>1288</v>
      </c>
      <c r="D7" s="348">
        <v>1918</v>
      </c>
    </row>
    <row r="8" spans="1:4" ht="12.75">
      <c r="B8" s="2" t="s">
        <v>217</v>
      </c>
      <c r="C8" s="348">
        <f>GM_output!C4</f>
        <v>190</v>
      </c>
      <c r="D8" s="348">
        <v>128</v>
      </c>
    </row>
    <row r="9" spans="2:4" ht="12.75">
      <c r="B9" s="2" t="s">
        <v>220</v>
      </c>
      <c r="C9" s="348">
        <f>GM_output!D4</f>
        <v>341</v>
      </c>
      <c r="D9" s="348">
        <v>196</v>
      </c>
    </row>
    <row r="10" spans="1:4" ht="12.75">
      <c r="A10" s="56" t="s">
        <v>85</v>
      </c>
      <c r="B10" s="57" t="s">
        <v>216</v>
      </c>
      <c r="C10" s="344">
        <f>GM_output!B6</f>
        <v>247</v>
      </c>
      <c r="D10" s="344">
        <v>234</v>
      </c>
    </row>
    <row r="11" spans="1:4" ht="12.75">
      <c r="A11" s="56" t="s">
        <v>83</v>
      </c>
      <c r="B11" s="57" t="s">
        <v>217</v>
      </c>
      <c r="C11" s="344">
        <f>GM_output!C6</f>
        <v>0</v>
      </c>
      <c r="D11" s="344">
        <v>0</v>
      </c>
    </row>
    <row r="12" spans="1:4" ht="12.75">
      <c r="A12" s="56"/>
      <c r="B12" s="57" t="s">
        <v>220</v>
      </c>
      <c r="C12" s="344">
        <f>GM_output!D6</f>
        <v>3099</v>
      </c>
      <c r="D12" s="344">
        <v>2912</v>
      </c>
    </row>
    <row r="13" spans="1:4" ht="12.75">
      <c r="A13" s="19" t="s">
        <v>86</v>
      </c>
      <c r="B13" s="9" t="s">
        <v>216</v>
      </c>
      <c r="C13" s="348">
        <f>GM_output!B17</f>
        <v>46</v>
      </c>
      <c r="D13" s="348">
        <v>42</v>
      </c>
    </row>
    <row r="14" spans="1:4" ht="12.75">
      <c r="A14" s="19" t="s">
        <v>83</v>
      </c>
      <c r="B14" s="9" t="s">
        <v>217</v>
      </c>
      <c r="C14" s="348">
        <f>GM_output!C17</f>
        <v>0</v>
      </c>
      <c r="D14" s="348">
        <v>0</v>
      </c>
    </row>
    <row r="15" spans="1:4" ht="12.75">
      <c r="A15" s="19"/>
      <c r="B15" s="9" t="s">
        <v>220</v>
      </c>
      <c r="C15" s="348">
        <f>GM_output!D17</f>
        <v>3216</v>
      </c>
      <c r="D15" s="348">
        <v>3125</v>
      </c>
    </row>
    <row r="16" spans="1:4" ht="12.75">
      <c r="A16" s="56" t="s">
        <v>235</v>
      </c>
      <c r="B16" s="57" t="s">
        <v>216</v>
      </c>
      <c r="C16" s="344">
        <f>GM_output!B19+GM_output!B21</f>
        <v>10964</v>
      </c>
      <c r="D16" s="344">
        <v>10450</v>
      </c>
    </row>
    <row r="17" spans="1:4" ht="12.75">
      <c r="A17" s="56" t="s">
        <v>83</v>
      </c>
      <c r="B17" s="57" t="s">
        <v>217</v>
      </c>
      <c r="C17" s="344">
        <f>GM_output!C19+GM_output!C21</f>
        <v>7450</v>
      </c>
      <c r="D17" s="344">
        <v>6320</v>
      </c>
    </row>
    <row r="18" spans="1:4" ht="12.75">
      <c r="A18" s="56"/>
      <c r="B18" s="57" t="s">
        <v>220</v>
      </c>
      <c r="C18" s="344">
        <f>GM_output!D19+GM_output!D21</f>
        <v>641</v>
      </c>
      <c r="D18" s="344">
        <v>982</v>
      </c>
    </row>
    <row r="19" spans="1:4" ht="12.75">
      <c r="A19" t="s">
        <v>87</v>
      </c>
      <c r="B19" s="2" t="s">
        <v>216</v>
      </c>
      <c r="C19" s="348">
        <f>GM_output!B8+GM_output!B23</f>
        <v>569</v>
      </c>
      <c r="D19" s="348">
        <v>599</v>
      </c>
    </row>
    <row r="20" spans="1:4" ht="12.75">
      <c r="B20" s="2" t="s">
        <v>217</v>
      </c>
      <c r="C20" s="348">
        <f>GM_output!C8+GM_output!C23</f>
        <v>0</v>
      </c>
      <c r="D20" s="348">
        <v>0</v>
      </c>
    </row>
    <row r="21" spans="2:4" ht="12.75">
      <c r="B21" s="2" t="s">
        <v>220</v>
      </c>
      <c r="C21" s="348">
        <f>GM_output!D8+GM_output!D23</f>
        <v>82283</v>
      </c>
      <c r="D21" s="348">
        <v>78724</v>
      </c>
    </row>
    <row r="22" spans="1:4" ht="12.75">
      <c r="A22" s="56" t="s">
        <v>88</v>
      </c>
      <c r="B22" s="57" t="s">
        <v>216</v>
      </c>
      <c r="C22" s="344">
        <f>GM_output!B7</f>
        <v>0</v>
      </c>
      <c r="D22" s="344">
        <v>0</v>
      </c>
    </row>
    <row r="23" spans="1:6" ht="12.75">
      <c r="A23" s="56" t="s">
        <v>83</v>
      </c>
      <c r="B23" s="57" t="s">
        <v>217</v>
      </c>
      <c r="C23" s="344">
        <f>GM_output!C7</f>
        <v>0</v>
      </c>
      <c r="D23" s="344">
        <v>0</v>
      </c>
      <c r="F23" s="65" t="s">
        <v>567</v>
      </c>
    </row>
    <row r="24" spans="1:4" ht="12.75">
      <c r="A24" s="56"/>
      <c r="B24" s="57" t="s">
        <v>220</v>
      </c>
      <c r="C24" s="344">
        <f>GM_output!D7</f>
        <v>1221</v>
      </c>
      <c r="D24" s="344">
        <v>1153</v>
      </c>
    </row>
    <row r="25" spans="1:4" ht="12.75">
      <c r="A25" t="s">
        <v>89</v>
      </c>
      <c r="B25" s="2" t="s">
        <v>216</v>
      </c>
      <c r="C25" s="348">
        <f>GM_output!B16+GM_output!B20</f>
        <v>0</v>
      </c>
      <c r="D25" s="348">
        <v>0</v>
      </c>
    </row>
    <row r="26" spans="1:4" ht="12.75">
      <c r="B26" s="2" t="s">
        <v>217</v>
      </c>
      <c r="C26" s="348">
        <f>GM_output!C16+GM_output!C20</f>
        <v>0</v>
      </c>
      <c r="D26" s="348">
        <v>0</v>
      </c>
    </row>
    <row r="27" spans="2:4" ht="12.75">
      <c r="B27" s="2" t="s">
        <v>220</v>
      </c>
      <c r="C27" s="348">
        <f>GM_output!D16+GM_output!D20</f>
        <v>7769</v>
      </c>
      <c r="D27" s="348">
        <v>6780</v>
      </c>
    </row>
    <row r="28" spans="1:4" ht="12.75">
      <c r="A28" s="56" t="s">
        <v>90</v>
      </c>
      <c r="B28" s="57" t="s">
        <v>216</v>
      </c>
      <c r="C28" s="344">
        <f>GM_output!B14+GM_output!B25</f>
        <v>0</v>
      </c>
      <c r="D28" s="344">
        <v>0</v>
      </c>
    </row>
    <row r="29" spans="1:4" ht="12.75">
      <c r="A29" s="56" t="s">
        <v>83</v>
      </c>
      <c r="B29" s="57" t="s">
        <v>217</v>
      </c>
      <c r="C29" s="344">
        <f>GM_output!C14+GM_output!C25</f>
        <v>0</v>
      </c>
      <c r="D29" s="344">
        <v>0</v>
      </c>
    </row>
    <row r="30" spans="1:4" ht="12.75">
      <c r="A30" s="56"/>
      <c r="B30" s="57" t="s">
        <v>220</v>
      </c>
      <c r="C30" s="344">
        <f>GM_output!D14+GM_output!D25</f>
        <v>28258</v>
      </c>
      <c r="D30" s="344">
        <v>15090</v>
      </c>
    </row>
    <row r="31" spans="1:4" ht="12.75">
      <c r="A31" t="s">
        <v>91</v>
      </c>
      <c r="B31" s="2" t="s">
        <v>216</v>
      </c>
      <c r="C31" s="348">
        <f>GM_output!B5</f>
        <v>0</v>
      </c>
      <c r="D31" s="348">
        <v>0</v>
      </c>
    </row>
    <row r="32" spans="1:4" ht="12.75">
      <c r="B32" s="2" t="s">
        <v>217</v>
      </c>
      <c r="C32" s="348">
        <f>GM_output!C5</f>
        <v>3553</v>
      </c>
      <c r="D32" s="348">
        <v>4560</v>
      </c>
    </row>
    <row r="33" spans="2:4" ht="12.75">
      <c r="B33" s="2" t="s">
        <v>220</v>
      </c>
      <c r="C33" s="348">
        <f>GM_output!D5</f>
        <v>3075</v>
      </c>
      <c r="D33" s="348">
        <v>3568</v>
      </c>
    </row>
    <row r="34" spans="1:4" ht="12.75">
      <c r="A34" s="56" t="s">
        <v>92</v>
      </c>
      <c r="B34" s="57" t="s">
        <v>216</v>
      </c>
      <c r="C34" s="344">
        <f>GM_output!B18</f>
        <v>0</v>
      </c>
      <c r="D34" s="344">
        <v>0</v>
      </c>
    </row>
    <row r="35" spans="1:4" ht="12.75">
      <c r="A35" s="56" t="s">
        <v>83</v>
      </c>
      <c r="B35" s="57" t="s">
        <v>217</v>
      </c>
      <c r="C35" s="344">
        <f>GM_output!C18</f>
        <v>-970</v>
      </c>
      <c r="D35" s="344">
        <v>-670</v>
      </c>
    </row>
    <row r="36" spans="1:4" ht="12.75">
      <c r="A36" s="56"/>
      <c r="B36" s="57" t="s">
        <v>220</v>
      </c>
      <c r="C36" s="344">
        <f>GM_output!D18</f>
        <v>873</v>
      </c>
      <c r="D36" s="344">
        <v>792</v>
      </c>
    </row>
    <row r="37" spans="1:4" ht="12.75">
      <c r="A37" t="s">
        <v>93</v>
      </c>
      <c r="B37" s="2" t="s">
        <v>216</v>
      </c>
      <c r="C37" s="348">
        <f>GM_output!B15+GM_output!B22</f>
        <v>0</v>
      </c>
      <c r="D37" s="348">
        <v>0</v>
      </c>
    </row>
    <row r="38" spans="1:4" ht="12.75">
      <c r="B38" s="2" t="s">
        <v>217</v>
      </c>
      <c r="C38" s="348">
        <f>GM_output!C15+GM_output!C22</f>
        <v>3406</v>
      </c>
      <c r="D38" s="348">
        <v>1799</v>
      </c>
    </row>
    <row r="39" spans="2:4" ht="12.75">
      <c r="B39" s="2" t="s">
        <v>220</v>
      </c>
      <c r="C39" s="348">
        <f>GM_output!D15+GM_output!D22</f>
        <v>0</v>
      </c>
      <c r="D39" s="348">
        <v>0</v>
      </c>
    </row>
    <row r="40" spans="1:4" ht="12.75">
      <c r="A40" s="56" t="s">
        <v>94</v>
      </c>
      <c r="B40" s="57" t="s">
        <v>216</v>
      </c>
      <c r="C40" s="344">
        <f>GM_output!B29</f>
        <v>-4166</v>
      </c>
      <c r="D40" s="344">
        <v>-4242</v>
      </c>
    </row>
    <row r="41" spans="1:4" ht="12.75">
      <c r="A41" s="66" t="s">
        <v>83</v>
      </c>
      <c r="B41" s="67" t="s">
        <v>217</v>
      </c>
      <c r="C41" s="344">
        <f>GM_output!C29</f>
        <v>141</v>
      </c>
      <c r="D41" s="344">
        <v>234</v>
      </c>
    </row>
    <row r="42" spans="1:4" ht="12.75">
      <c r="A42" s="66"/>
      <c r="B42" s="67" t="s">
        <v>218</v>
      </c>
      <c r="C42" s="344">
        <f>GM_output!D30</f>
        <v>78411</v>
      </c>
      <c r="D42" s="344">
        <v>67616</v>
      </c>
    </row>
    <row r="43" spans="1:4" ht="12.75">
      <c r="A43" s="66"/>
      <c r="B43" s="67" t="s">
        <v>219</v>
      </c>
      <c r="C43" s="344">
        <f>GM_output!D13</f>
        <v>2008</v>
      </c>
      <c r="D43" s="344">
        <v>1926</v>
      </c>
    </row>
    <row r="44" ht="12.75">
      <c r="D44" s="247"/>
    </row>
    <row r="45" spans="1:4" ht="12.75">
      <c r="A45" s="5" t="s">
        <v>97</v>
      </c>
      <c r="B45" s="14"/>
      <c r="D45" s="247"/>
    </row>
    <row r="46" spans="1:4" ht="12.75">
      <c r="A46" s="56" t="s">
        <v>82</v>
      </c>
      <c r="B46" s="57" t="s">
        <v>181</v>
      </c>
      <c r="C46" s="344">
        <f>GM_output!E9</f>
        <v>0</v>
      </c>
      <c r="D46" s="344">
        <v>0</v>
      </c>
    </row>
    <row r="47" spans="1:4" ht="12.75">
      <c r="A47" t="s">
        <v>84</v>
      </c>
      <c r="B47" s="2" t="s">
        <v>181</v>
      </c>
      <c r="C47" s="345">
        <f>GM_output!E4</f>
        <v>0</v>
      </c>
      <c r="D47" s="348">
        <v>0</v>
      </c>
    </row>
    <row r="48" spans="1:4" ht="12.75">
      <c r="A48" s="56" t="s">
        <v>85</v>
      </c>
      <c r="B48" s="57" t="s">
        <v>181</v>
      </c>
      <c r="C48" s="344">
        <f>GM_output!E6</f>
        <v>0</v>
      </c>
      <c r="D48" s="344">
        <v>0</v>
      </c>
    </row>
    <row r="49" spans="1:4" ht="12.75">
      <c r="A49" t="s">
        <v>86</v>
      </c>
      <c r="B49" s="2" t="s">
        <v>181</v>
      </c>
      <c r="C49" s="345">
        <f>GM_output!E17</f>
        <v>0</v>
      </c>
      <c r="D49" s="348">
        <v>0</v>
      </c>
    </row>
    <row r="50" spans="1:4" ht="12.75">
      <c r="A50" s="56" t="s">
        <v>235</v>
      </c>
      <c r="B50" s="57" t="s">
        <v>181</v>
      </c>
      <c r="C50" s="344">
        <f>GM_output!E19+GM_output!E21</f>
        <v>0</v>
      </c>
      <c r="D50" s="344">
        <v>0</v>
      </c>
    </row>
    <row r="51" spans="1:4" ht="12.75">
      <c r="A51" t="s">
        <v>87</v>
      </c>
      <c r="B51" s="2" t="s">
        <v>181</v>
      </c>
      <c r="C51" s="345">
        <f>GM_output!E8+GM_output!E23</f>
        <v>0</v>
      </c>
      <c r="D51" s="348">
        <v>0</v>
      </c>
    </row>
    <row r="52" spans="1:6" ht="12.75">
      <c r="A52" s="56" t="s">
        <v>88</v>
      </c>
      <c r="B52" s="57" t="s">
        <v>181</v>
      </c>
      <c r="C52" s="344">
        <f>GM_output!E7</f>
        <v>0</v>
      </c>
      <c r="D52" s="344">
        <v>0</v>
      </c>
      <c r="F52" s="65" t="s">
        <v>567</v>
      </c>
    </row>
    <row r="53" spans="1:4" ht="12.75">
      <c r="A53" t="s">
        <v>89</v>
      </c>
      <c r="B53" s="2" t="s">
        <v>181</v>
      </c>
      <c r="C53" s="345">
        <f>GM_output!E16+GM_output!E20</f>
        <v>29</v>
      </c>
      <c r="D53" s="348">
        <v>31</v>
      </c>
    </row>
    <row r="54" spans="1:4" ht="12.75">
      <c r="A54" s="56" t="s">
        <v>90</v>
      </c>
      <c r="B54" s="57" t="s">
        <v>181</v>
      </c>
      <c r="C54" s="344">
        <f>GM_output!E14+GM_output!E25</f>
        <v>9197</v>
      </c>
      <c r="D54" s="344">
        <v>9058</v>
      </c>
    </row>
    <row r="55" spans="1:4" ht="12.75">
      <c r="A55" t="s">
        <v>91</v>
      </c>
      <c r="B55" s="2" t="s">
        <v>181</v>
      </c>
      <c r="C55" s="345">
        <f>GM_output!E5</f>
        <v>0</v>
      </c>
      <c r="D55" s="348">
        <v>0</v>
      </c>
    </row>
    <row r="56" spans="1:4" ht="12.75">
      <c r="A56" s="56" t="s">
        <v>92</v>
      </c>
      <c r="B56" s="57" t="s">
        <v>181</v>
      </c>
      <c r="C56" s="344">
        <f>GM_output!E18</f>
        <v>0</v>
      </c>
      <c r="D56" s="344">
        <v>0</v>
      </c>
    </row>
    <row r="57" spans="1:4" ht="12.75">
      <c r="A57" t="s">
        <v>93</v>
      </c>
      <c r="B57" s="17" t="s">
        <v>181</v>
      </c>
      <c r="C57" s="345">
        <f>GM_output!E15+GM_output!E22</f>
        <v>0</v>
      </c>
      <c r="D57" s="348">
        <v>0</v>
      </c>
    </row>
    <row r="58" spans="1:4" ht="12.75">
      <c r="A58" s="56" t="s">
        <v>94</v>
      </c>
      <c r="B58" s="57" t="s">
        <v>282</v>
      </c>
      <c r="C58" s="344">
        <f>GM_output!E30</f>
        <v>9016</v>
      </c>
      <c r="D58" s="344">
        <v>9567</v>
      </c>
    </row>
    <row r="59" spans="1:4" ht="12.75">
      <c r="A59" s="56"/>
      <c r="B59" s="57" t="s">
        <v>283</v>
      </c>
      <c r="C59" s="344">
        <f>GM_output!E13</f>
        <v>0</v>
      </c>
      <c r="D59" s="344">
        <v>0</v>
      </c>
    </row>
    <row r="60" spans="2:4" ht="12.75">
      <c r="B60" s="9" t="s">
        <v>4</v>
      </c>
      <c r="C60" s="345">
        <f>SUM(C46:C59)</f>
        <v>18242</v>
      </c>
      <c r="D60" s="348">
        <v>18656</v>
      </c>
    </row>
    <row r="61" spans="1:4" ht="12.75">
      <c r="A61" s="5" t="s">
        <v>98</v>
      </c>
      <c r="B61" s="14" t="s">
        <v>83</v>
      </c>
      <c r="D61" s="247"/>
    </row>
    <row r="62" spans="1:4" ht="12.75">
      <c r="A62" s="56" t="s">
        <v>82</v>
      </c>
      <c r="B62" s="118" t="s">
        <v>498</v>
      </c>
      <c r="C62" s="344">
        <v>2964</v>
      </c>
      <c r="D62" s="344">
        <v>3350</v>
      </c>
    </row>
    <row r="63" spans="1:4" ht="12.75">
      <c r="A63" s="56"/>
      <c r="B63" s="118" t="s">
        <v>236</v>
      </c>
      <c r="C63" s="344">
        <v>0</v>
      </c>
      <c r="D63" s="344">
        <v>0</v>
      </c>
    </row>
    <row r="64" spans="1:4" ht="12.75">
      <c r="A64" s="56"/>
      <c r="B64" s="118" t="s">
        <v>194</v>
      </c>
      <c r="C64" s="344">
        <v>0</v>
      </c>
      <c r="D64" s="344">
        <v>0</v>
      </c>
    </row>
    <row r="65" spans="1:4" ht="12.75">
      <c r="A65" t="s">
        <v>84</v>
      </c>
      <c r="B65" s="119" t="s">
        <v>498</v>
      </c>
      <c r="C65" s="345">
        <v>0</v>
      </c>
      <c r="D65" s="348">
        <v>0</v>
      </c>
    </row>
    <row r="66" spans="2:4" ht="12.75">
      <c r="B66" s="119" t="s">
        <v>236</v>
      </c>
      <c r="C66" s="345">
        <v>0</v>
      </c>
      <c r="D66" s="348">
        <v>0</v>
      </c>
    </row>
    <row r="67" spans="1:4" ht="12.75">
      <c r="B67" s="119" t="s">
        <v>194</v>
      </c>
      <c r="C67" s="345">
        <v>0</v>
      </c>
      <c r="D67" s="348">
        <v>0</v>
      </c>
    </row>
    <row r="68" spans="1:4" ht="12.75">
      <c r="B68" s="119" t="s">
        <v>238</v>
      </c>
      <c r="C68" s="345"/>
      <c r="D68" s="348"/>
    </row>
    <row r="69" spans="2:4" ht="12.75">
      <c r="B69" s="119" t="s">
        <v>239</v>
      </c>
      <c r="C69" s="345"/>
      <c r="D69" s="348"/>
    </row>
    <row r="70" spans="1:4" ht="12.75">
      <c r="B70" s="119" t="s">
        <v>196</v>
      </c>
      <c r="C70" s="345"/>
      <c r="D70" s="348"/>
    </row>
    <row r="71" spans="2:4" ht="12.75">
      <c r="B71" s="119" t="s">
        <v>237</v>
      </c>
      <c r="C71" s="345">
        <v>0</v>
      </c>
      <c r="D71" s="348">
        <v>0</v>
      </c>
    </row>
    <row r="72" spans="1:4" ht="12.75">
      <c r="B72" s="119" t="s">
        <v>499</v>
      </c>
      <c r="C72" s="345">
        <v>0</v>
      </c>
      <c r="D72" s="348">
        <v>0</v>
      </c>
    </row>
    <row r="73" spans="1:4" ht="12.75">
      <c r="B73" s="119" t="s">
        <v>195</v>
      </c>
      <c r="C73" s="345">
        <v>0</v>
      </c>
      <c r="D73" s="348">
        <v>0</v>
      </c>
    </row>
    <row r="74" spans="1:4" ht="12.75">
      <c r="A74" s="56" t="s">
        <v>85</v>
      </c>
      <c r="B74" s="118" t="s">
        <v>498</v>
      </c>
      <c r="C74" s="344">
        <v>0</v>
      </c>
      <c r="D74" s="344">
        <v>0</v>
      </c>
    </row>
    <row r="75" spans="1:4" ht="12.75">
      <c r="A75" s="56"/>
      <c r="B75" s="118" t="s">
        <v>236</v>
      </c>
      <c r="C75" s="344">
        <v>0</v>
      </c>
      <c r="D75" s="344">
        <v>0</v>
      </c>
    </row>
    <row r="76" spans="1:4" ht="12.75">
      <c r="A76" s="56"/>
      <c r="B76" s="118" t="s">
        <v>194</v>
      </c>
      <c r="C76" s="344">
        <v>0</v>
      </c>
      <c r="D76" s="344">
        <v>0</v>
      </c>
    </row>
    <row r="77" spans="1:4" ht="12.75">
      <c r="A77" s="56"/>
      <c r="B77" s="118" t="s">
        <v>237</v>
      </c>
      <c r="C77" s="344">
        <v>517.27</v>
      </c>
      <c r="D77" s="344">
        <v>769.29</v>
      </c>
    </row>
    <row r="78" spans="1:4" ht="12.75">
      <c r="A78" s="56" t="s">
        <v>83</v>
      </c>
      <c r="B78" s="118" t="s">
        <v>499</v>
      </c>
      <c r="C78" s="344">
        <v>0</v>
      </c>
      <c r="D78" s="344">
        <v>0</v>
      </c>
    </row>
    <row r="79" spans="1:4" ht="12.75">
      <c r="A79" s="56" t="s">
        <v>83</v>
      </c>
      <c r="B79" s="118" t="s">
        <v>195</v>
      </c>
      <c r="C79" s="344">
        <v>0</v>
      </c>
      <c r="D79" s="344">
        <v>0</v>
      </c>
    </row>
    <row r="80" spans="1:4" ht="12.75">
      <c r="A80" t="s">
        <v>86</v>
      </c>
      <c r="B80" s="119" t="s">
        <v>237</v>
      </c>
      <c r="C80" s="345">
        <v>0</v>
      </c>
      <c r="D80" s="348">
        <v>0</v>
      </c>
    </row>
    <row r="81" spans="2:4" ht="12.75">
      <c r="B81" s="119" t="s">
        <v>499</v>
      </c>
      <c r="C81" s="345">
        <v>0</v>
      </c>
      <c r="D81" s="348">
        <v>0</v>
      </c>
    </row>
    <row r="82" spans="1:4" ht="12.75">
      <c r="B82" s="119" t="s">
        <v>195</v>
      </c>
      <c r="C82" s="345">
        <v>0</v>
      </c>
      <c r="D82" s="348">
        <v>0</v>
      </c>
    </row>
    <row r="83" spans="1:4" ht="12.75">
      <c r="A83" s="56" t="s">
        <v>235</v>
      </c>
      <c r="B83" s="118" t="s">
        <v>498</v>
      </c>
      <c r="C83" s="344">
        <v>542</v>
      </c>
      <c r="D83" s="344">
        <v>2836</v>
      </c>
    </row>
    <row r="84" spans="1:4" ht="12.75">
      <c r="A84" s="56"/>
      <c r="B84" s="118" t="s">
        <v>236</v>
      </c>
      <c r="C84" s="344">
        <v>0</v>
      </c>
      <c r="D84" s="344">
        <v>0</v>
      </c>
    </row>
    <row r="85" spans="1:4" ht="12.75">
      <c r="A85" s="56" t="s">
        <v>83</v>
      </c>
      <c r="B85" s="118" t="s">
        <v>194</v>
      </c>
      <c r="C85" s="344">
        <v>0</v>
      </c>
      <c r="D85" s="344">
        <v>0</v>
      </c>
    </row>
    <row r="86" spans="1:4" ht="12.75">
      <c r="A86" s="56"/>
      <c r="B86" s="118" t="s">
        <v>238</v>
      </c>
      <c r="C86" s="344"/>
      <c r="D86" s="344"/>
    </row>
    <row r="87" spans="1:4" ht="12.75">
      <c r="A87" s="56" t="s">
        <v>83</v>
      </c>
      <c r="B87" s="118" t="s">
        <v>239</v>
      </c>
      <c r="C87" s="344">
        <v>65.3</v>
      </c>
      <c r="D87" s="344">
        <v>12.5</v>
      </c>
    </row>
    <row r="88" spans="1:4" ht="12.75">
      <c r="A88" s="56" t="s">
        <v>83</v>
      </c>
      <c r="B88" s="118" t="s">
        <v>196</v>
      </c>
      <c r="C88" s="344"/>
      <c r="D88" s="344"/>
    </row>
    <row r="89" spans="1:4" ht="12.75">
      <c r="A89" s="56"/>
      <c r="B89" s="118" t="s">
        <v>237</v>
      </c>
      <c r="C89" s="344">
        <v>0</v>
      </c>
      <c r="D89" s="344">
        <v>0</v>
      </c>
    </row>
    <row r="90" spans="1:4" ht="12.75">
      <c r="A90" s="56" t="s">
        <v>83</v>
      </c>
      <c r="B90" s="118" t="s">
        <v>499</v>
      </c>
      <c r="C90" s="344">
        <v>0</v>
      </c>
      <c r="D90" s="344">
        <v>0</v>
      </c>
    </row>
    <row r="91" spans="1:4" ht="12.75">
      <c r="A91" s="56"/>
      <c r="B91" s="118" t="s">
        <v>195</v>
      </c>
      <c r="C91" s="344">
        <v>0</v>
      </c>
      <c r="D91" s="344">
        <v>0</v>
      </c>
    </row>
    <row r="92" spans="1:4" ht="12.75">
      <c r="A92" t="s">
        <v>87</v>
      </c>
      <c r="B92" s="119" t="s">
        <v>237</v>
      </c>
      <c r="C92" s="345">
        <v>0</v>
      </c>
      <c r="D92" s="348">
        <v>0</v>
      </c>
    </row>
    <row r="93" spans="2:4" ht="12.75">
      <c r="B93" s="119" t="s">
        <v>499</v>
      </c>
      <c r="C93" s="345">
        <v>81.1</v>
      </c>
      <c r="D93" s="348">
        <v>52.87</v>
      </c>
    </row>
    <row r="94" spans="1:4" ht="12.75">
      <c r="B94" s="119" t="s">
        <v>195</v>
      </c>
      <c r="C94" s="345">
        <v>0</v>
      </c>
      <c r="D94" s="348">
        <v>0</v>
      </c>
    </row>
    <row r="95" spans="1:4" ht="12.75">
      <c r="A95" s="56" t="s">
        <v>88</v>
      </c>
      <c r="B95" s="118" t="s">
        <v>238</v>
      </c>
      <c r="C95" s="344"/>
      <c r="D95" s="344"/>
    </row>
    <row r="96" spans="1:4" ht="12.75">
      <c r="A96" s="56"/>
      <c r="B96" s="118" t="s">
        <v>239</v>
      </c>
      <c r="C96" s="344"/>
      <c r="D96" s="344"/>
    </row>
    <row r="97" spans="1:4" ht="12.75">
      <c r="A97" s="56" t="s">
        <v>83</v>
      </c>
      <c r="B97" s="118" t="s">
        <v>196</v>
      </c>
      <c r="C97" s="344"/>
      <c r="D97" s="344"/>
    </row>
    <row r="98" spans="1:4" ht="12.75">
      <c r="A98" s="56"/>
      <c r="B98" s="118" t="s">
        <v>237</v>
      </c>
      <c r="C98" s="344">
        <v>0</v>
      </c>
      <c r="D98" s="344">
        <v>0</v>
      </c>
    </row>
    <row r="99" spans="1:4" ht="12.75">
      <c r="A99" s="56" t="s">
        <v>83</v>
      </c>
      <c r="B99" s="118" t="s">
        <v>499</v>
      </c>
      <c r="C99" s="344">
        <v>0</v>
      </c>
      <c r="D99" s="344">
        <v>0</v>
      </c>
    </row>
    <row r="100" spans="1:4" ht="12.75">
      <c r="A100" s="56" t="s">
        <v>83</v>
      </c>
      <c r="B100" s="118" t="s">
        <v>195</v>
      </c>
      <c r="C100" s="344">
        <v>0</v>
      </c>
      <c r="D100" s="344">
        <v>0</v>
      </c>
    </row>
    <row r="101" spans="1:4" ht="12.75">
      <c r="A101" t="s">
        <v>89</v>
      </c>
      <c r="B101" s="119" t="s">
        <v>237</v>
      </c>
      <c r="C101" s="345">
        <v>0</v>
      </c>
      <c r="D101" s="348">
        <v>0</v>
      </c>
    </row>
    <row r="102" spans="2:4" ht="12.75">
      <c r="B102" s="119" t="s">
        <v>499</v>
      </c>
      <c r="C102" s="345">
        <v>163.7</v>
      </c>
      <c r="D102" s="348">
        <v>128.5</v>
      </c>
    </row>
    <row r="103" spans="1:4" ht="12.75">
      <c r="B103" s="119" t="s">
        <v>195</v>
      </c>
      <c r="C103" s="345">
        <v>0</v>
      </c>
      <c r="D103" s="348">
        <v>0</v>
      </c>
    </row>
    <row r="104" spans="1:4" ht="12.75">
      <c r="A104" s="56" t="s">
        <v>90</v>
      </c>
      <c r="B104" s="118" t="s">
        <v>237</v>
      </c>
      <c r="C104" s="344">
        <v>0</v>
      </c>
      <c r="D104" s="344">
        <v>0</v>
      </c>
    </row>
    <row r="105" spans="1:4" ht="12.75">
      <c r="A105" s="56" t="s">
        <v>83</v>
      </c>
      <c r="B105" s="118" t="s">
        <v>499</v>
      </c>
      <c r="C105" s="344">
        <v>684.4</v>
      </c>
      <c r="D105" s="344">
        <v>455.25</v>
      </c>
    </row>
    <row r="106" spans="1:4" ht="12.75">
      <c r="A106" s="56" t="s">
        <v>83</v>
      </c>
      <c r="B106" s="118" t="s">
        <v>195</v>
      </c>
      <c r="C106" s="344">
        <v>0</v>
      </c>
      <c r="D106" s="344">
        <v>0</v>
      </c>
    </row>
    <row r="107" spans="1:4" ht="12.75">
      <c r="A107" s="56"/>
      <c r="B107" s="118" t="s">
        <v>240</v>
      </c>
      <c r="C107" s="344">
        <v>0</v>
      </c>
      <c r="D107" s="344">
        <v>0</v>
      </c>
    </row>
    <row r="108" spans="1:4" ht="12.75">
      <c r="A108" s="56" t="s">
        <v>83</v>
      </c>
      <c r="B108" s="118" t="s">
        <v>260</v>
      </c>
      <c r="C108" s="344">
        <v>0</v>
      </c>
      <c r="D108" s="344">
        <v>0</v>
      </c>
    </row>
    <row r="109" spans="1:4" ht="12.75">
      <c r="A109" s="56" t="s">
        <v>83</v>
      </c>
      <c r="B109" s="118" t="s">
        <v>197</v>
      </c>
      <c r="C109" s="344">
        <v>0</v>
      </c>
      <c r="D109" s="344">
        <v>0</v>
      </c>
    </row>
    <row r="110" spans="1:4" ht="12.75">
      <c r="A110" t="s">
        <v>91</v>
      </c>
      <c r="B110" s="119" t="s">
        <v>498</v>
      </c>
      <c r="C110" s="345">
        <v>0</v>
      </c>
      <c r="D110" s="348">
        <v>0</v>
      </c>
    </row>
    <row r="111" spans="2:4" ht="12.75">
      <c r="B111" s="119" t="s">
        <v>236</v>
      </c>
      <c r="C111" s="345">
        <v>0</v>
      </c>
      <c r="D111" s="348">
        <v>0</v>
      </c>
    </row>
    <row r="112" spans="1:4" ht="12.75">
      <c r="B112" s="119" t="s">
        <v>194</v>
      </c>
      <c r="C112" s="345">
        <v>0</v>
      </c>
      <c r="D112" s="348">
        <v>0</v>
      </c>
    </row>
    <row r="113" spans="2:4" ht="12.75">
      <c r="B113" s="119" t="s">
        <v>238</v>
      </c>
      <c r="C113" s="345"/>
      <c r="D113" s="348"/>
    </row>
    <row r="114" spans="1:4" ht="12.75">
      <c r="B114" s="119" t="s">
        <v>239</v>
      </c>
      <c r="C114" s="345">
        <v>7.9</v>
      </c>
      <c r="D114" s="348">
        <v>0</v>
      </c>
    </row>
    <row r="115" spans="1:4" ht="12.75">
      <c r="B115" s="119" t="s">
        <v>196</v>
      </c>
      <c r="C115" s="345"/>
      <c r="D115" s="348"/>
    </row>
    <row r="116" spans="2:4" ht="12.75">
      <c r="B116" s="119" t="s">
        <v>237</v>
      </c>
      <c r="C116" s="345">
        <v>0</v>
      </c>
      <c r="D116" s="348">
        <v>0</v>
      </c>
    </row>
    <row r="117" spans="1:4" ht="12.75">
      <c r="B117" s="119" t="s">
        <v>499</v>
      </c>
      <c r="C117" s="345">
        <v>0</v>
      </c>
      <c r="D117" s="348">
        <v>0</v>
      </c>
    </row>
    <row r="118" spans="1:4" ht="12.75">
      <c r="B118" s="119" t="s">
        <v>195</v>
      </c>
      <c r="C118" s="345">
        <v>0</v>
      </c>
      <c r="D118" s="348">
        <v>0</v>
      </c>
    </row>
    <row r="119" spans="2:4" ht="12.75">
      <c r="B119" s="119" t="s">
        <v>240</v>
      </c>
      <c r="C119" s="345">
        <v>0</v>
      </c>
      <c r="D119" s="348">
        <v>0</v>
      </c>
    </row>
    <row r="120" spans="2:4" ht="12.75">
      <c r="B120" s="119" t="s">
        <v>260</v>
      </c>
      <c r="C120" s="345">
        <v>0</v>
      </c>
      <c r="D120" s="348">
        <v>0</v>
      </c>
    </row>
    <row r="121" spans="2:4" ht="12.75">
      <c r="B121" s="119" t="s">
        <v>197</v>
      </c>
      <c r="C121" s="345">
        <v>0</v>
      </c>
      <c r="D121" s="348">
        <v>0</v>
      </c>
    </row>
    <row r="122" spans="1:4" ht="12.75">
      <c r="A122" s="56" t="s">
        <v>92</v>
      </c>
      <c r="B122" s="118" t="s">
        <v>238</v>
      </c>
      <c r="C122" s="344"/>
      <c r="D122" s="344"/>
    </row>
    <row r="123" spans="1:4" ht="12.75">
      <c r="A123" s="56"/>
      <c r="B123" s="118" t="s">
        <v>239</v>
      </c>
      <c r="C123" s="344">
        <v>108.2</v>
      </c>
      <c r="D123" s="344">
        <v>98.5</v>
      </c>
    </row>
    <row r="124" spans="1:4" ht="12.75">
      <c r="A124" s="56" t="s">
        <v>83</v>
      </c>
      <c r="B124" s="118" t="s">
        <v>196</v>
      </c>
      <c r="C124" s="344"/>
      <c r="D124" s="344"/>
    </row>
    <row r="125" spans="1:4" ht="12.75">
      <c r="A125" s="56"/>
      <c r="B125" s="118" t="s">
        <v>237</v>
      </c>
      <c r="C125" s="344">
        <v>0</v>
      </c>
      <c r="D125" s="344">
        <v>0</v>
      </c>
    </row>
    <row r="126" spans="1:4" ht="12.75">
      <c r="A126" s="56" t="s">
        <v>83</v>
      </c>
      <c r="B126" s="118" t="s">
        <v>499</v>
      </c>
      <c r="C126" s="344">
        <v>487.53</v>
      </c>
      <c r="D126" s="344">
        <v>398.26</v>
      </c>
    </row>
    <row r="127" spans="1:4" ht="12.75">
      <c r="A127" s="56" t="s">
        <v>83</v>
      </c>
      <c r="B127" s="118" t="s">
        <v>195</v>
      </c>
      <c r="C127" s="344">
        <v>0</v>
      </c>
      <c r="D127" s="344">
        <v>0</v>
      </c>
    </row>
    <row r="128" spans="1:4" ht="12.75">
      <c r="A128" s="56"/>
      <c r="B128" s="118" t="s">
        <v>240</v>
      </c>
      <c r="C128" s="344">
        <v>0</v>
      </c>
      <c r="D128" s="344">
        <v>0</v>
      </c>
    </row>
    <row r="129" spans="1:4" ht="12.75">
      <c r="A129" s="56" t="s">
        <v>83</v>
      </c>
      <c r="B129" s="118" t="s">
        <v>260</v>
      </c>
      <c r="C129" s="344">
        <v>99.6</v>
      </c>
      <c r="D129" s="344">
        <v>10.78</v>
      </c>
    </row>
    <row r="130" spans="1:4" ht="12.75">
      <c r="A130" s="56" t="s">
        <v>83</v>
      </c>
      <c r="B130" s="118" t="s">
        <v>197</v>
      </c>
      <c r="C130" s="344">
        <v>0</v>
      </c>
      <c r="D130" s="344">
        <v>0</v>
      </c>
    </row>
    <row r="131" spans="1:4" ht="12.75">
      <c r="A131" t="s">
        <v>93</v>
      </c>
      <c r="B131" s="119" t="s">
        <v>238</v>
      </c>
      <c r="C131" s="345"/>
      <c r="D131" s="348"/>
    </row>
    <row r="132" spans="2:4" ht="12.75">
      <c r="B132" s="119" t="s">
        <v>239</v>
      </c>
      <c r="C132" s="345">
        <v>451.8</v>
      </c>
      <c r="D132" s="348">
        <v>459.5</v>
      </c>
    </row>
    <row r="133" spans="1:4" ht="12.75">
      <c r="B133" s="119" t="s">
        <v>196</v>
      </c>
      <c r="C133" s="345">
        <v>525.2</v>
      </c>
      <c r="D133" s="348">
        <v>518.1</v>
      </c>
    </row>
    <row r="134" spans="2:4" ht="12.75">
      <c r="B134" s="119" t="s">
        <v>240</v>
      </c>
      <c r="C134" s="345">
        <v>0</v>
      </c>
      <c r="D134" s="348">
        <v>0</v>
      </c>
    </row>
    <row r="135" spans="1:4" ht="12.75">
      <c r="B135" s="119" t="s">
        <v>260</v>
      </c>
      <c r="C135" s="345">
        <v>223.56</v>
      </c>
      <c r="D135" s="348">
        <v>87.66</v>
      </c>
    </row>
    <row r="136" spans="1:4" ht="12.75">
      <c r="B136" s="119" t="s">
        <v>197</v>
      </c>
      <c r="C136" s="345">
        <v>0</v>
      </c>
      <c r="D136" s="348">
        <v>0</v>
      </c>
    </row>
    <row r="137" spans="1:4" ht="12.75">
      <c r="A137" s="56" t="s">
        <v>94</v>
      </c>
      <c r="B137" s="118" t="s">
        <v>238</v>
      </c>
      <c r="C137" s="344"/>
      <c r="D137" s="344"/>
    </row>
    <row r="138" spans="1:4" ht="12.75">
      <c r="A138" s="56"/>
      <c r="B138" s="118" t="s">
        <v>239</v>
      </c>
      <c r="C138" s="344">
        <v>1164.7</v>
      </c>
      <c r="D138" s="344">
        <v>1169.3</v>
      </c>
    </row>
    <row r="139" spans="1:4" ht="12.75">
      <c r="A139" s="56" t="s">
        <v>83</v>
      </c>
      <c r="B139" s="118" t="s">
        <v>196</v>
      </c>
      <c r="C139" s="344"/>
      <c r="D139" s="344"/>
    </row>
    <row r="140" spans="1:4" ht="12.75">
      <c r="A140" s="56"/>
      <c r="B140" s="118" t="s">
        <v>237</v>
      </c>
      <c r="C140" s="344">
        <v>2380</v>
      </c>
      <c r="D140" s="344">
        <v>967</v>
      </c>
    </row>
    <row r="141" spans="1:4" ht="12.75">
      <c r="A141" s="56" t="s">
        <v>83</v>
      </c>
      <c r="B141" s="118" t="s">
        <v>499</v>
      </c>
      <c r="C141" s="344">
        <v>5069.53</v>
      </c>
      <c r="D141" s="344">
        <v>5686.94</v>
      </c>
    </row>
    <row r="142" spans="1:4" ht="12.75">
      <c r="A142" s="56" t="s">
        <v>83</v>
      </c>
      <c r="B142" s="118" t="s">
        <v>195</v>
      </c>
      <c r="C142" s="344">
        <v>0</v>
      </c>
      <c r="D142" s="344">
        <v>0</v>
      </c>
    </row>
    <row r="143" spans="1:4" ht="12.75">
      <c r="A143" s="56"/>
      <c r="B143" s="118" t="s">
        <v>289</v>
      </c>
      <c r="C143" s="344">
        <v>0</v>
      </c>
      <c r="D143" s="344">
        <v>0</v>
      </c>
    </row>
    <row r="144" spans="1:4" ht="12.75">
      <c r="A144" s="56" t="s">
        <v>83</v>
      </c>
      <c r="B144" s="118" t="s">
        <v>500</v>
      </c>
      <c r="C144" s="344">
        <v>1041.09</v>
      </c>
      <c r="D144" s="344">
        <v>1502.07</v>
      </c>
    </row>
    <row r="145" spans="1:4" ht="12.75">
      <c r="A145" s="56" t="s">
        <v>83</v>
      </c>
      <c r="B145" s="118" t="s">
        <v>288</v>
      </c>
      <c r="C145" s="344">
        <v>0</v>
      </c>
      <c r="D145" s="344">
        <v>0</v>
      </c>
    </row>
    <row r="146" ht="12.75">
      <c r="D146" s="247"/>
    </row>
    <row r="147" spans="1:4" ht="12.75">
      <c r="A147" s="114" t="s">
        <v>261</v>
      </c>
      <c r="D147" s="247"/>
    </row>
    <row r="148" spans="1:4" ht="12.75">
      <c r="B148" s="117" t="s">
        <v>495</v>
      </c>
      <c r="C148" s="346">
        <v>0.6</v>
      </c>
      <c r="D148" s="346">
        <v>0.6</v>
      </c>
    </row>
    <row r="149" spans="1:4" ht="12.75">
      <c r="B149" s="117" t="s">
        <v>496</v>
      </c>
      <c r="C149" s="346">
        <v>0.75</v>
      </c>
      <c r="D149" s="346">
        <v>0.75</v>
      </c>
    </row>
    <row r="150" spans="1:4" ht="12.75">
      <c r="B150" s="117" t="s">
        <v>497</v>
      </c>
      <c r="C150" s="346">
        <v>0.5</v>
      </c>
      <c r="D150" s="346">
        <v>0.5</v>
      </c>
    </row>
    <row r="151" ht="12.75">
      <c r="D151" s="247"/>
    </row>
    <row r="152" spans="1:4" ht="12.75">
      <c r="A152" s="114" t="s">
        <v>493</v>
      </c>
      <c r="B152" s="14"/>
      <c r="D152" s="247"/>
    </row>
    <row r="153" spans="1:4" ht="12.75">
      <c r="A153" s="56" t="s">
        <v>82</v>
      </c>
      <c r="B153" s="118" t="s">
        <v>262</v>
      </c>
      <c r="C153" s="67">
        <v>0</v>
      </c>
      <c r="D153" s="355">
        <v>0</v>
      </c>
    </row>
    <row r="154" spans="1:4" ht="12.75">
      <c r="A154" s="56"/>
      <c r="B154" s="118" t="s">
        <v>263</v>
      </c>
      <c r="C154" s="67">
        <v>0</v>
      </c>
      <c r="D154" s="67">
        <v>0</v>
      </c>
    </row>
    <row r="155" spans="1:4" ht="12.75">
      <c r="A155" t="s">
        <v>84</v>
      </c>
      <c r="B155" s="119" t="s">
        <v>262</v>
      </c>
      <c r="C155" s="116">
        <v>0</v>
      </c>
      <c r="D155" s="116">
        <v>0</v>
      </c>
    </row>
    <row r="156" spans="1:4" ht="12.75">
      <c r="B156" s="119" t="s">
        <v>264</v>
      </c>
      <c r="C156" s="116">
        <v>0</v>
      </c>
      <c r="D156" s="116">
        <v>0</v>
      </c>
    </row>
    <row r="157" spans="1:4" ht="12.75">
      <c r="B157" s="119" t="s">
        <v>263</v>
      </c>
      <c r="C157" s="116">
        <v>0</v>
      </c>
      <c r="D157" s="116">
        <v>0</v>
      </c>
    </row>
    <row r="158" spans="1:4" ht="12.75">
      <c r="A158" s="56" t="s">
        <v>85</v>
      </c>
      <c r="B158" s="118" t="s">
        <v>262</v>
      </c>
      <c r="C158" s="67">
        <v>0</v>
      </c>
      <c r="D158" s="67">
        <v>0</v>
      </c>
    </row>
    <row r="159" spans="1:4" ht="12.75">
      <c r="A159" s="56"/>
      <c r="B159" s="118" t="s">
        <v>263</v>
      </c>
      <c r="C159" s="67">
        <v>0</v>
      </c>
      <c r="D159" s="67">
        <v>0</v>
      </c>
    </row>
    <row r="160" spans="1:4" ht="12.75">
      <c r="A160" t="s">
        <v>86</v>
      </c>
      <c r="B160" s="119" t="s">
        <v>263</v>
      </c>
      <c r="C160" s="116">
        <v>0</v>
      </c>
      <c r="D160" s="116">
        <v>0</v>
      </c>
    </row>
    <row r="161" spans="1:4" ht="12.75">
      <c r="A161" s="56" t="s">
        <v>235</v>
      </c>
      <c r="B161" s="118" t="s">
        <v>262</v>
      </c>
      <c r="C161" s="67">
        <v>0</v>
      </c>
      <c r="D161" s="355">
        <v>0</v>
      </c>
    </row>
    <row r="162" spans="1:4" ht="12.75">
      <c r="A162" s="56" t="s">
        <v>83</v>
      </c>
      <c r="B162" s="118" t="s">
        <v>264</v>
      </c>
      <c r="C162" s="67">
        <v>0</v>
      </c>
      <c r="D162" s="67">
        <v>0</v>
      </c>
    </row>
    <row r="163" spans="1:4" ht="12.75">
      <c r="A163" s="56" t="s">
        <v>83</v>
      </c>
      <c r="B163" s="118" t="s">
        <v>263</v>
      </c>
      <c r="C163" s="67">
        <v>0</v>
      </c>
      <c r="D163" s="67">
        <v>0</v>
      </c>
    </row>
    <row r="164" spans="1:4" ht="12.75">
      <c r="A164" t="s">
        <v>87</v>
      </c>
      <c r="B164" s="119" t="s">
        <v>263</v>
      </c>
      <c r="C164" s="116">
        <v>0</v>
      </c>
      <c r="D164" s="116">
        <v>0</v>
      </c>
    </row>
    <row r="165" spans="1:4" ht="12.75">
      <c r="A165" s="56" t="s">
        <v>88</v>
      </c>
      <c r="B165" s="118" t="s">
        <v>264</v>
      </c>
      <c r="C165" s="67">
        <v>0</v>
      </c>
      <c r="D165" s="67">
        <v>0</v>
      </c>
    </row>
    <row r="166" spans="1:4" ht="12.75">
      <c r="A166" s="56" t="s">
        <v>83</v>
      </c>
      <c r="B166" s="118" t="s">
        <v>263</v>
      </c>
      <c r="C166" s="67">
        <v>0</v>
      </c>
      <c r="D166" s="67">
        <v>0</v>
      </c>
    </row>
    <row r="167" spans="1:4" ht="12.75">
      <c r="A167" t="s">
        <v>89</v>
      </c>
      <c r="B167" s="119" t="s">
        <v>263</v>
      </c>
      <c r="C167" s="116">
        <v>0</v>
      </c>
      <c r="D167" s="116">
        <v>0</v>
      </c>
    </row>
    <row r="168" spans="1:4" ht="12.75">
      <c r="A168" s="56" t="s">
        <v>90</v>
      </c>
      <c r="B168" s="118" t="s">
        <v>263</v>
      </c>
      <c r="C168" s="67">
        <v>0</v>
      </c>
      <c r="D168" s="67">
        <v>0</v>
      </c>
    </row>
    <row r="169" spans="1:4" ht="12.75">
      <c r="A169" s="56"/>
      <c r="B169" s="118" t="s">
        <v>494</v>
      </c>
      <c r="C169" s="67">
        <v>0</v>
      </c>
      <c r="D169" s="67">
        <v>0</v>
      </c>
    </row>
    <row r="170" spans="1:4" ht="12.75">
      <c r="A170" t="s">
        <v>91</v>
      </c>
      <c r="B170" s="119" t="s">
        <v>262</v>
      </c>
      <c r="C170" s="116">
        <v>0</v>
      </c>
      <c r="D170" s="116">
        <v>0</v>
      </c>
    </row>
    <row r="171" spans="1:4" ht="12.75">
      <c r="B171" s="119" t="s">
        <v>264</v>
      </c>
      <c r="C171" s="116">
        <v>0</v>
      </c>
      <c r="D171" s="116">
        <v>0</v>
      </c>
    </row>
    <row r="172" spans="1:4" ht="12.75">
      <c r="B172" s="119" t="s">
        <v>263</v>
      </c>
      <c r="C172" s="116">
        <v>0</v>
      </c>
      <c r="D172" s="116">
        <v>0</v>
      </c>
    </row>
    <row r="173" spans="2:4" ht="12.75">
      <c r="B173" s="119" t="s">
        <v>494</v>
      </c>
      <c r="C173" s="116">
        <v>0</v>
      </c>
      <c r="D173" s="116">
        <v>0</v>
      </c>
    </row>
    <row r="174" spans="1:4" ht="12.75">
      <c r="A174" s="56" t="s">
        <v>92</v>
      </c>
      <c r="B174" s="118" t="s">
        <v>264</v>
      </c>
      <c r="C174" s="67">
        <v>0</v>
      </c>
      <c r="D174" s="67">
        <v>0</v>
      </c>
    </row>
    <row r="175" spans="1:4" ht="12.75">
      <c r="A175" s="56" t="s">
        <v>83</v>
      </c>
      <c r="B175" s="118" t="s">
        <v>263</v>
      </c>
      <c r="C175" s="67">
        <v>0</v>
      </c>
      <c r="D175" s="67">
        <v>0</v>
      </c>
    </row>
    <row r="176" spans="1:4" ht="12.75">
      <c r="A176" s="56"/>
      <c r="B176" s="118" t="s">
        <v>494</v>
      </c>
      <c r="C176" s="67">
        <v>0</v>
      </c>
      <c r="D176" s="67">
        <v>0</v>
      </c>
    </row>
    <row r="177" spans="1:4" ht="12.75">
      <c r="A177" t="s">
        <v>93</v>
      </c>
      <c r="B177" s="119" t="s">
        <v>264</v>
      </c>
      <c r="C177" s="116">
        <v>0</v>
      </c>
      <c r="D177" s="116">
        <v>0</v>
      </c>
    </row>
    <row r="178" spans="1:27" s="19" customFormat="1" ht="12.75">
      <c r="A178" t="s">
        <v>83</v>
      </c>
      <c r="B178" s="119" t="s">
        <v>263</v>
      </c>
      <c r="C178" s="116">
        <v>0</v>
      </c>
      <c r="D178" s="116">
        <v>0</v>
      </c>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row>
    <row r="179" spans="1:4" ht="12.75">
      <c r="A179" s="56" t="s">
        <v>94</v>
      </c>
      <c r="B179" s="118" t="s">
        <v>264</v>
      </c>
      <c r="C179" s="67">
        <v>0</v>
      </c>
      <c r="D179" s="67">
        <v>0</v>
      </c>
    </row>
    <row r="180" spans="1:4" ht="12.75">
      <c r="A180" s="56" t="s">
        <v>83</v>
      </c>
      <c r="B180" s="118" t="s">
        <v>494</v>
      </c>
      <c r="C180" s="67">
        <v>0</v>
      </c>
      <c r="D180" s="67">
        <v>0</v>
      </c>
    </row>
    <row r="181" spans="1:4" ht="12.75">
      <c r="D181" s="247"/>
    </row>
    <row r="182" spans="1:4" ht="12.75">
      <c r="A182" s="5" t="s">
        <v>99</v>
      </c>
      <c r="B182" s="14" t="s">
        <v>83</v>
      </c>
      <c r="D182" s="247"/>
    </row>
    <row r="183" spans="1:4" ht="12.75">
      <c r="A183" s="56" t="s">
        <v>82</v>
      </c>
      <c r="B183" s="58" t="s">
        <v>100</v>
      </c>
      <c r="C183" s="347">
        <v>19751.57</v>
      </c>
      <c r="D183" s="344">
        <v>19435</v>
      </c>
    </row>
    <row r="184" spans="1:4" ht="12.75">
      <c r="A184" t="s">
        <v>84</v>
      </c>
      <c r="B184" s="6" t="s">
        <v>101</v>
      </c>
      <c r="C184" s="182">
        <v>552.74</v>
      </c>
      <c r="D184" s="348">
        <v>3630.86</v>
      </c>
    </row>
    <row r="185" spans="1:4" ht="12.75">
      <c r="A185" s="56" t="s">
        <v>85</v>
      </c>
      <c r="B185" s="58" t="s">
        <v>102</v>
      </c>
      <c r="C185" s="347">
        <v>2998.78</v>
      </c>
      <c r="D185" s="344">
        <v>2255.01</v>
      </c>
    </row>
    <row r="186" spans="1:4" ht="12.75">
      <c r="A186" t="s">
        <v>86</v>
      </c>
      <c r="B186" s="6" t="s">
        <v>103</v>
      </c>
      <c r="C186" s="345">
        <v>5658.13</v>
      </c>
      <c r="D186" s="348">
        <v>5609.26</v>
      </c>
    </row>
    <row r="187" spans="1:4" ht="12.75">
      <c r="A187" s="56" t="s">
        <v>235</v>
      </c>
      <c r="B187" s="58" t="s">
        <v>104</v>
      </c>
      <c r="C187" s="344">
        <v>3097.08</v>
      </c>
      <c r="D187" s="344">
        <v>4854.65</v>
      </c>
    </row>
    <row r="188" spans="1:4" ht="12.75">
      <c r="A188" t="s">
        <v>87</v>
      </c>
      <c r="B188" s="6" t="s">
        <v>105</v>
      </c>
      <c r="C188" s="345">
        <v>20877.69</v>
      </c>
      <c r="D188" s="348">
        <v>21496.64</v>
      </c>
    </row>
    <row r="189" spans="1:6" ht="12.75">
      <c r="A189" s="56" t="s">
        <v>88</v>
      </c>
      <c r="B189" s="58" t="s">
        <v>259</v>
      </c>
      <c r="C189" s="344">
        <v>2589.04</v>
      </c>
      <c r="D189" s="344">
        <v>2870.41</v>
      </c>
      <c r="F189" s="65" t="s">
        <v>568</v>
      </c>
    </row>
    <row r="190" spans="1:4" ht="12.75">
      <c r="A190" t="s">
        <v>89</v>
      </c>
      <c r="B190" s="6" t="s">
        <v>106</v>
      </c>
      <c r="C190" s="345">
        <v>12044.98</v>
      </c>
      <c r="D190" s="348">
        <v>9264.88</v>
      </c>
    </row>
    <row r="191" spans="1:4" ht="12.75">
      <c r="A191" s="56" t="s">
        <v>90</v>
      </c>
      <c r="B191" s="58" t="s">
        <v>107</v>
      </c>
      <c r="C191" s="344">
        <v>31372.8</v>
      </c>
      <c r="D191" s="344">
        <v>37974.4</v>
      </c>
    </row>
    <row r="192" spans="1:4" ht="12.75">
      <c r="A192" t="s">
        <v>91</v>
      </c>
      <c r="B192" s="6" t="s">
        <v>108</v>
      </c>
      <c r="C192" s="345">
        <v>843.9</v>
      </c>
      <c r="D192" s="348">
        <v>1561.16</v>
      </c>
    </row>
    <row r="193" spans="1:4" ht="12.75">
      <c r="A193" s="56" t="s">
        <v>92</v>
      </c>
      <c r="B193" s="58" t="s">
        <v>109</v>
      </c>
      <c r="C193" s="344">
        <v>7218.88</v>
      </c>
      <c r="D193" s="344">
        <v>9191.2</v>
      </c>
    </row>
    <row r="194" spans="1:4" ht="12.75">
      <c r="A194" t="s">
        <v>93</v>
      </c>
      <c r="B194" s="6" t="s">
        <v>110</v>
      </c>
      <c r="C194" s="345">
        <v>9916.39</v>
      </c>
      <c r="D194" s="348">
        <v>7414.96</v>
      </c>
    </row>
    <row r="195" spans="1:4" ht="12.75">
      <c r="A195" s="56" t="s">
        <v>94</v>
      </c>
      <c r="B195" s="58" t="s">
        <v>111</v>
      </c>
      <c r="C195" s="344">
        <v>118877.31</v>
      </c>
      <c r="D195" s="344">
        <v>66134.02</v>
      </c>
    </row>
    <row r="196" spans="1:4" ht="12.75">
      <c r="A196" s="56" t="s">
        <v>83</v>
      </c>
      <c r="B196" s="58" t="s">
        <v>112</v>
      </c>
      <c r="C196" s="344">
        <v>178139.99</v>
      </c>
      <c r="D196" s="344">
        <v>94756.83</v>
      </c>
    </row>
    <row r="197" spans="1:8" ht="12.75">
      <c r="A197" s="56" t="s">
        <v>83</v>
      </c>
      <c r="B197" s="58" t="s">
        <v>113</v>
      </c>
      <c r="C197" s="344"/>
      <c r="D197" s="344"/>
      <c r="F197" s="65" t="s">
        <v>566</v>
      </c>
      <c r="H197" s="65" t="s">
        <v>575</v>
      </c>
    </row>
    <row r="198" ht="12.75">
      <c r="D198" s="247"/>
    </row>
    <row r="199" spans="1:4" ht="12.75">
      <c r="A199" s="5" t="s">
        <v>114</v>
      </c>
      <c r="B199" s="14" t="s">
        <v>83</v>
      </c>
      <c r="D199" s="247"/>
    </row>
    <row r="200" spans="1:4" ht="12.75">
      <c r="A200" s="56" t="s">
        <v>82</v>
      </c>
      <c r="B200" s="57" t="s">
        <v>115</v>
      </c>
      <c r="C200" s="344">
        <f>MAX(C183-33900,0)</f>
        <v>0</v>
      </c>
      <c r="D200" s="344">
        <v>0</v>
      </c>
    </row>
    <row r="201" spans="1:4" ht="12.75">
      <c r="A201" t="s">
        <v>84</v>
      </c>
      <c r="B201" s="2" t="s">
        <v>116</v>
      </c>
      <c r="C201" s="345">
        <f>MAX(C184-16400,0)</f>
        <v>0</v>
      </c>
      <c r="D201" s="348">
        <v>0</v>
      </c>
    </row>
    <row r="202" spans="1:4" ht="12.75">
      <c r="A202" s="56" t="s">
        <v>85</v>
      </c>
      <c r="B202" s="57" t="s">
        <v>117</v>
      </c>
      <c r="C202" s="344">
        <f>MAX(C185-4800,0)</f>
        <v>0</v>
      </c>
      <c r="D202" s="344">
        <v>0</v>
      </c>
    </row>
    <row r="203" spans="1:4" ht="12.75">
      <c r="A203" t="s">
        <v>86</v>
      </c>
      <c r="B203" s="2" t="s">
        <v>118</v>
      </c>
      <c r="C203" s="345">
        <f>MAX(C186-9800,0)</f>
        <v>0</v>
      </c>
      <c r="D203" s="348">
        <v>0</v>
      </c>
    </row>
    <row r="204" spans="1:4" ht="12.75">
      <c r="A204" s="56" t="s">
        <v>235</v>
      </c>
      <c r="B204" s="57" t="s">
        <v>119</v>
      </c>
      <c r="C204" s="344">
        <f>MAX(C187-30400,0)</f>
        <v>0</v>
      </c>
      <c r="D204" s="344">
        <v>0</v>
      </c>
    </row>
    <row r="205" spans="1:4" ht="12.75">
      <c r="A205" t="s">
        <v>87</v>
      </c>
      <c r="B205" s="2" t="s">
        <v>120</v>
      </c>
      <c r="C205" s="345">
        <f>MAX(C188-51900,0)</f>
        <v>0</v>
      </c>
      <c r="D205" s="348">
        <v>0</v>
      </c>
    </row>
    <row r="206" spans="1:6" ht="12.75">
      <c r="A206" s="56" t="s">
        <v>88</v>
      </c>
      <c r="B206" s="57" t="s">
        <v>121</v>
      </c>
      <c r="C206" s="344">
        <f>MAX(C189-9400,0)</f>
        <v>0</v>
      </c>
      <c r="D206" s="344">
        <v>0</v>
      </c>
      <c r="F206" s="65" t="s">
        <v>569</v>
      </c>
    </row>
    <row r="207" spans="1:6" ht="12.75">
      <c r="A207" t="s">
        <v>89</v>
      </c>
      <c r="B207" s="2" t="s">
        <v>122</v>
      </c>
      <c r="C207" s="345">
        <f>MAX(C190-15100,0)</f>
        <v>0</v>
      </c>
      <c r="D207" s="348">
        <v>0</v>
      </c>
      <c r="F207" s="65" t="s">
        <v>570</v>
      </c>
    </row>
    <row r="208" spans="1:4" ht="12.75">
      <c r="A208" s="56" t="s">
        <v>90</v>
      </c>
      <c r="B208" s="57" t="s">
        <v>123</v>
      </c>
      <c r="C208" s="344">
        <f>MAX(C191-55100,0)</f>
        <v>0</v>
      </c>
      <c r="D208" s="344">
        <v>0</v>
      </c>
    </row>
    <row r="209" spans="1:4" ht="12.75">
      <c r="A209" t="s">
        <v>91</v>
      </c>
      <c r="B209" s="2" t="s">
        <v>124</v>
      </c>
      <c r="C209" s="345">
        <f>MAX(C192-13900,0)</f>
        <v>0</v>
      </c>
      <c r="D209" s="348">
        <v>0</v>
      </c>
    </row>
    <row r="210" spans="1:4" ht="12.75">
      <c r="A210" s="56" t="s">
        <v>92</v>
      </c>
      <c r="B210" s="57" t="s">
        <v>125</v>
      </c>
      <c r="C210" s="344">
        <f>MAX(C193-26900,0)</f>
        <v>0</v>
      </c>
      <c r="D210" s="344">
        <v>0</v>
      </c>
    </row>
    <row r="211" spans="1:4" ht="12.75">
      <c r="A211" t="s">
        <v>93</v>
      </c>
      <c r="B211" s="2" t="s">
        <v>126</v>
      </c>
      <c r="C211" s="345">
        <f>MAX(C194-15700,0)</f>
        <v>0</v>
      </c>
      <c r="D211" s="348">
        <v>0</v>
      </c>
    </row>
    <row r="212" spans="1:4" ht="12.75">
      <c r="A212" s="56" t="s">
        <v>94</v>
      </c>
      <c r="B212" s="57" t="s">
        <v>127</v>
      </c>
      <c r="C212" s="344">
        <f>MAX(C196-400000,0)</f>
        <v>0</v>
      </c>
      <c r="D212" s="344">
        <v>0</v>
      </c>
    </row>
    <row r="213" spans="3:4" ht="12.75">
      <c r="C213" s="345"/>
      <c r="D213" s="356"/>
    </row>
    <row r="214" spans="1:4" ht="12.75">
      <c r="A214" s="5" t="s">
        <v>128</v>
      </c>
      <c r="B214" s="14" t="s">
        <v>83</v>
      </c>
      <c r="C214" s="345"/>
      <c r="D214" s="357"/>
    </row>
    <row r="215" spans="1:4" ht="12.75">
      <c r="A215" s="56" t="s">
        <v>235</v>
      </c>
      <c r="B215" s="57" t="s">
        <v>129</v>
      </c>
      <c r="C215" s="344">
        <v>3972.1</v>
      </c>
      <c r="D215" s="344">
        <v>5556.6</v>
      </c>
    </row>
    <row r="216" spans="1:4" ht="12.75">
      <c r="A216" s="56" t="s">
        <v>83</v>
      </c>
      <c r="B216" s="57" t="s">
        <v>130</v>
      </c>
      <c r="C216" s="344">
        <v>-3200</v>
      </c>
      <c r="D216" s="344">
        <v>-4900</v>
      </c>
    </row>
    <row r="217" spans="1:4" ht="12.75">
      <c r="A217" t="s">
        <v>87</v>
      </c>
      <c r="B217" s="9" t="s">
        <v>131</v>
      </c>
      <c r="C217" s="345">
        <v>1448.3</v>
      </c>
      <c r="D217" s="348">
        <v>2023</v>
      </c>
    </row>
    <row r="218" spans="1:4" ht="12.75">
      <c r="B218" s="9" t="s">
        <v>132</v>
      </c>
      <c r="C218" s="345">
        <v>-1200</v>
      </c>
      <c r="D218" s="348">
        <v>-6000</v>
      </c>
    </row>
    <row r="219" spans="1:4" ht="12.75">
      <c r="A219" s="56" t="s">
        <v>89</v>
      </c>
      <c r="B219" s="57" t="s">
        <v>133</v>
      </c>
      <c r="C219" s="344">
        <v>2447</v>
      </c>
      <c r="D219" s="344">
        <v>3821.8</v>
      </c>
    </row>
    <row r="220" spans="1:4" ht="12.75">
      <c r="A220" s="56" t="s">
        <v>83</v>
      </c>
      <c r="B220" s="57" t="s">
        <v>134</v>
      </c>
      <c r="C220" s="344">
        <v>-5500</v>
      </c>
      <c r="D220" s="344">
        <v>-5000</v>
      </c>
    </row>
    <row r="221" spans="1:6" ht="12.75">
      <c r="A221" s="19" t="s">
        <v>90</v>
      </c>
      <c r="B221" s="9" t="s">
        <v>135</v>
      </c>
      <c r="C221" s="345">
        <v>2850.4</v>
      </c>
      <c r="D221" s="348">
        <v>3372.1</v>
      </c>
      <c r="F221" s="65" t="s">
        <v>557</v>
      </c>
    </row>
    <row r="222" spans="1:6" ht="12.75">
      <c r="A222" s="19" t="s">
        <v>83</v>
      </c>
      <c r="B222" s="9" t="s">
        <v>136</v>
      </c>
      <c r="C222" s="345">
        <v>100</v>
      </c>
      <c r="D222" s="348">
        <v>-8900</v>
      </c>
      <c r="F222" s="65" t="s">
        <v>579</v>
      </c>
    </row>
    <row r="223" spans="1:4" ht="12.75">
      <c r="A223" s="56" t="s">
        <v>93</v>
      </c>
      <c r="B223" s="57" t="s">
        <v>137</v>
      </c>
      <c r="C223" s="344">
        <v>3115.1</v>
      </c>
      <c r="D223" s="344">
        <v>4999.5</v>
      </c>
    </row>
    <row r="224" spans="1:4" ht="12.75">
      <c r="A224" s="56" t="s">
        <v>83</v>
      </c>
      <c r="B224" s="57" t="s">
        <v>138</v>
      </c>
      <c r="C224" s="344">
        <v>-800</v>
      </c>
      <c r="D224" s="344">
        <v>-5300</v>
      </c>
    </row>
    <row r="225" spans="1:4" ht="12.75">
      <c r="A225" s="19" t="s">
        <v>94</v>
      </c>
      <c r="B225" s="9" t="s">
        <v>139</v>
      </c>
      <c r="C225" s="345">
        <v>4816.2</v>
      </c>
      <c r="D225" s="348">
        <v>8598.5</v>
      </c>
    </row>
    <row r="226" spans="1:4" ht="12.75">
      <c r="A226" s="19" t="s">
        <v>83</v>
      </c>
      <c r="B226" s="9" t="s">
        <v>140</v>
      </c>
      <c r="C226" s="345">
        <v>-1800</v>
      </c>
      <c r="D226" s="348">
        <v>-27600</v>
      </c>
    </row>
    <row r="227" spans="1:4" ht="12.75">
      <c r="A227" s="19" t="s">
        <v>83</v>
      </c>
      <c r="B227" s="57" t="s">
        <v>141</v>
      </c>
      <c r="C227" s="344">
        <v>12341</v>
      </c>
      <c r="D227" s="344">
        <v>20786.1</v>
      </c>
    </row>
    <row r="228" spans="1:4" ht="12.75">
      <c r="A228" s="19" t="s">
        <v>83</v>
      </c>
      <c r="B228" s="57" t="s">
        <v>142</v>
      </c>
      <c r="C228" s="344">
        <v>27900</v>
      </c>
      <c r="D228" s="344">
        <v>-77300</v>
      </c>
    </row>
    <row r="229" spans="1:8" ht="12.75">
      <c r="A229" s="19" t="s">
        <v>83</v>
      </c>
      <c r="B229" s="9" t="s">
        <v>490</v>
      </c>
      <c r="C229" s="348">
        <v>320</v>
      </c>
      <c r="D229" s="348">
        <v>900</v>
      </c>
      <c r="E229" s="247"/>
      <c r="F229" s="247" t="s">
        <v>559</v>
      </c>
      <c r="G229" s="247"/>
      <c r="H229" s="247"/>
    </row>
    <row r="230" ht="12.75">
      <c r="D230" s="247"/>
    </row>
    <row r="231" spans="1:4" ht="12.75">
      <c r="A231" s="5" t="s">
        <v>143</v>
      </c>
      <c r="B231" s="14" t="s">
        <v>83</v>
      </c>
      <c r="D231" s="247"/>
    </row>
    <row r="232" spans="1:6" ht="12.75">
      <c r="A232" s="56" t="s">
        <v>82</v>
      </c>
      <c r="B232" s="57" t="s">
        <v>144</v>
      </c>
      <c r="C232" s="344">
        <v>1718</v>
      </c>
      <c r="D232" s="344">
        <v>1853</v>
      </c>
      <c r="F232" s="343"/>
    </row>
    <row r="233" spans="1:6" ht="12.75">
      <c r="A233" s="56" t="s">
        <v>83</v>
      </c>
      <c r="B233" s="57" t="s">
        <v>145</v>
      </c>
      <c r="C233" s="344">
        <v>5011</v>
      </c>
      <c r="D233" s="344">
        <v>5921</v>
      </c>
      <c r="F233" s="343"/>
    </row>
    <row r="234" spans="1:6" ht="12.75">
      <c r="A234" s="56" t="s">
        <v>83</v>
      </c>
      <c r="B234" s="57" t="s">
        <v>146</v>
      </c>
      <c r="C234" s="344">
        <v>6729</v>
      </c>
      <c r="D234" s="344">
        <v>7774</v>
      </c>
      <c r="F234" s="65" t="s">
        <v>560</v>
      </c>
    </row>
    <row r="235" spans="1:6" ht="12.75">
      <c r="A235" s="19" t="s">
        <v>235</v>
      </c>
      <c r="B235" s="9" t="s">
        <v>147</v>
      </c>
      <c r="C235" s="345">
        <v>1092</v>
      </c>
      <c r="D235" s="348">
        <v>1718</v>
      </c>
      <c r="F235" s="343"/>
    </row>
    <row r="236" spans="1:6" ht="12.75">
      <c r="A236" s="56" t="s">
        <v>87</v>
      </c>
      <c r="B236" s="57" t="s">
        <v>148</v>
      </c>
      <c r="C236" s="344">
        <v>0</v>
      </c>
      <c r="D236" s="344">
        <v>0</v>
      </c>
      <c r="F236" s="65" t="s">
        <v>561</v>
      </c>
    </row>
    <row r="237" spans="1:6" ht="12.75">
      <c r="A237" s="56" t="s">
        <v>83</v>
      </c>
      <c r="B237" s="57" t="s">
        <v>149</v>
      </c>
      <c r="C237" s="344">
        <v>3042</v>
      </c>
      <c r="D237" s="344">
        <v>3743</v>
      </c>
      <c r="F237" s="65" t="s">
        <v>560</v>
      </c>
    </row>
    <row r="238" spans="1:6" ht="12.75">
      <c r="A238" s="56" t="s">
        <v>83</v>
      </c>
      <c r="B238" s="57" t="s">
        <v>150</v>
      </c>
      <c r="C238" s="344">
        <f>Attachment7!B17</f>
        <v>6964</v>
      </c>
      <c r="D238" s="344">
        <v>9340</v>
      </c>
      <c r="F238" s="358"/>
    </row>
    <row r="239" spans="1:4" ht="12.75">
      <c r="A239" s="56" t="s">
        <v>83</v>
      </c>
      <c r="B239" s="57" t="s">
        <v>151</v>
      </c>
      <c r="C239" s="344">
        <f>Attachment7!B18</f>
        <v>7098</v>
      </c>
      <c r="D239" s="344">
        <v>10002</v>
      </c>
    </row>
    <row r="240" spans="1:4" ht="12.75">
      <c r="A240" s="56" t="s">
        <v>83</v>
      </c>
      <c r="B240" s="57" t="s">
        <v>152</v>
      </c>
      <c r="C240" s="349">
        <f>Attachment7!K17</f>
        <v>0.594735496840896</v>
      </c>
      <c r="D240" s="67">
        <v>0.5435089935760171</v>
      </c>
    </row>
    <row r="241" spans="1:4" ht="12.75">
      <c r="A241" s="56" t="s">
        <v>83</v>
      </c>
      <c r="B241" s="57" t="s">
        <v>153</v>
      </c>
      <c r="C241" s="349">
        <f>Attachment7!K18</f>
        <v>0.6085305719921104</v>
      </c>
      <c r="D241" s="359">
        <v>0.5751805638872226</v>
      </c>
    </row>
    <row r="242" spans="1:4" ht="12.75">
      <c r="A242" s="19" t="s">
        <v>88</v>
      </c>
      <c r="B242" s="9" t="s">
        <v>154</v>
      </c>
      <c r="C242" s="345">
        <f>Attachment7!B19</f>
        <v>17816</v>
      </c>
      <c r="D242" s="348">
        <v>27529</v>
      </c>
    </row>
    <row r="243" spans="1:4" ht="12.75">
      <c r="A243" s="19" t="s">
        <v>83</v>
      </c>
      <c r="B243" s="9" t="s">
        <v>155</v>
      </c>
      <c r="C243" s="350">
        <f>Attachment7!K19</f>
        <v>0.4869923664122137</v>
      </c>
      <c r="D243" s="360">
        <v>0.4342613244215191</v>
      </c>
    </row>
    <row r="244" spans="1:4" ht="12.75">
      <c r="A244" s="56" t="s">
        <v>89</v>
      </c>
      <c r="B244" s="57" t="s">
        <v>156</v>
      </c>
      <c r="C244" s="344">
        <f>Attachment7!B20</f>
        <v>5355</v>
      </c>
      <c r="D244" s="344">
        <v>7785</v>
      </c>
    </row>
    <row r="245" spans="1:4" ht="12.75">
      <c r="A245" s="56" t="s">
        <v>83</v>
      </c>
      <c r="B245" s="57" t="s">
        <v>157</v>
      </c>
      <c r="C245" s="349">
        <f>Attachment7!K20</f>
        <v>0.5008967320261437</v>
      </c>
      <c r="D245" s="359">
        <v>0.46505639049454073</v>
      </c>
    </row>
    <row r="246" spans="1:9" ht="12.75">
      <c r="A246" t="s">
        <v>93</v>
      </c>
      <c r="B246" s="9" t="s">
        <v>286</v>
      </c>
      <c r="C246" s="348">
        <f>Attachment7!B26</f>
        <v>5321</v>
      </c>
      <c r="D246" s="348">
        <v>4517</v>
      </c>
      <c r="E246" s="247"/>
      <c r="F246" s="247"/>
      <c r="G246" s="247"/>
      <c r="H246" s="247"/>
      <c r="I246" s="247"/>
    </row>
    <row r="247" spans="1:4" ht="12.75">
      <c r="B247" s="9" t="s">
        <v>287</v>
      </c>
      <c r="C247" s="350">
        <f>Attachment7!K26</f>
        <v>0.6109392971246006</v>
      </c>
      <c r="D247" s="360">
        <v>0.5831312818242196</v>
      </c>
    </row>
    <row r="248" spans="1:4" ht="12.75">
      <c r="A248" s="56" t="s">
        <v>94</v>
      </c>
      <c r="B248" s="57" t="s">
        <v>158</v>
      </c>
      <c r="C248" s="344">
        <f>Attachment7!B21</f>
        <v>5872</v>
      </c>
      <c r="D248" s="344">
        <v>8608</v>
      </c>
    </row>
    <row r="249" spans="1:6" ht="12.75">
      <c r="A249" s="56"/>
      <c r="B249" s="57" t="s">
        <v>170</v>
      </c>
      <c r="C249" s="349">
        <f>Attachment7!K21</f>
        <v>0.47063419618528607</v>
      </c>
      <c r="D249" s="359">
        <v>0.48212151486988847</v>
      </c>
      <c r="F249" s="65" t="s">
        <v>562</v>
      </c>
    </row>
    <row r="250" spans="1:4" ht="12.75">
      <c r="A250" s="56" t="s">
        <v>83</v>
      </c>
      <c r="B250" s="57" t="s">
        <v>159</v>
      </c>
      <c r="C250" s="344">
        <f>Attachment7!B22</f>
        <v>19629</v>
      </c>
      <c r="D250" s="344">
        <v>26292</v>
      </c>
    </row>
    <row r="251" spans="1:4" ht="12.75">
      <c r="A251" s="56"/>
      <c r="B251" s="57" t="s">
        <v>171</v>
      </c>
      <c r="C251" s="349">
        <f>Attachment7!K22</f>
        <v>0.4812554893270162</v>
      </c>
      <c r="D251" s="359">
        <v>0.49726144834930774</v>
      </c>
    </row>
    <row r="252" spans="1:4" ht="12.75">
      <c r="A252" s="56" t="s">
        <v>83</v>
      </c>
      <c r="B252" s="57" t="s">
        <v>160</v>
      </c>
      <c r="C252" s="344">
        <f>Attachment7!B23</f>
        <v>2988</v>
      </c>
      <c r="D252" s="344">
        <v>3638</v>
      </c>
    </row>
    <row r="253" spans="1:4" ht="12.75">
      <c r="A253" s="56"/>
      <c r="B253" s="57" t="s">
        <v>172</v>
      </c>
      <c r="C253" s="349">
        <f>Attachment7!K23</f>
        <v>0.5331646586345381</v>
      </c>
      <c r="D253" s="359">
        <v>0.5614114898295767</v>
      </c>
    </row>
    <row r="254" spans="1:4" ht="12.75">
      <c r="A254" s="56" t="s">
        <v>83</v>
      </c>
      <c r="B254" s="57" t="s">
        <v>161</v>
      </c>
      <c r="C254" s="344">
        <f>Attachment7!B24</f>
        <v>28544</v>
      </c>
      <c r="D254" s="344">
        <v>38479</v>
      </c>
    </row>
    <row r="255" spans="1:4" ht="12.75">
      <c r="A255" s="56"/>
      <c r="B255" s="57" t="s">
        <v>173</v>
      </c>
      <c r="C255" s="349">
        <f>Attachment7!K24</f>
        <v>0.6394141325672645</v>
      </c>
      <c r="D255" s="359">
        <v>0.6442356350217002</v>
      </c>
    </row>
    <row r="256" spans="1:4" ht="12.75">
      <c r="A256" s="56" t="s">
        <v>83</v>
      </c>
      <c r="B256" s="57" t="s">
        <v>162</v>
      </c>
      <c r="C256" s="344">
        <f>Attachment7!B25</f>
        <v>3409</v>
      </c>
      <c r="D256" s="344">
        <v>3946</v>
      </c>
    </row>
    <row r="257" spans="1:4" ht="12.75">
      <c r="A257" s="56"/>
      <c r="B257" s="57" t="s">
        <v>174</v>
      </c>
      <c r="C257" s="349">
        <f>Attachment7!K25</f>
        <v>0.4958847169257847</v>
      </c>
      <c r="D257" s="359">
        <v>0.48110060821084644</v>
      </c>
    </row>
    <row r="258" spans="1:4" ht="12.75">
      <c r="A258" s="56" t="s">
        <v>83</v>
      </c>
      <c r="B258" s="57" t="s">
        <v>163</v>
      </c>
      <c r="C258" s="344">
        <f>Attachment7!B27</f>
        <v>11303</v>
      </c>
      <c r="D258" s="344">
        <v>18466</v>
      </c>
    </row>
    <row r="259" spans="1:4" ht="12.75">
      <c r="A259" s="56"/>
      <c r="B259" s="57" t="s">
        <v>175</v>
      </c>
      <c r="C259" s="349">
        <f>Attachment7!K27</f>
        <v>0.5902360435282668</v>
      </c>
      <c r="D259" s="359">
        <v>0.5845308675403444</v>
      </c>
    </row>
    <row r="260" spans="1:4" ht="12.75">
      <c r="A260" s="56"/>
      <c r="B260" s="57"/>
      <c r="C260" s="67"/>
      <c r="D260" s="67"/>
    </row>
    <row r="261" spans="1:6" ht="12.75">
      <c r="A261" s="56" t="s">
        <v>83</v>
      </c>
      <c r="B261" s="57" t="s">
        <v>164</v>
      </c>
      <c r="C261" s="344">
        <f>CourtlandAvLove!B28</f>
        <v>61217</v>
      </c>
      <c r="D261" s="344">
        <v>126839</v>
      </c>
      <c r="F261" s="247" t="s">
        <v>563</v>
      </c>
    </row>
    <row r="262" spans="1:6" ht="12.75">
      <c r="A262" s="56"/>
      <c r="B262" s="176" t="s">
        <v>509</v>
      </c>
      <c r="C262" s="344">
        <f>CourtlandAvLove!P28</f>
        <v>1982</v>
      </c>
      <c r="D262" s="344">
        <v>3463</v>
      </c>
      <c r="F262" s="247" t="s">
        <v>571</v>
      </c>
    </row>
    <row r="263" spans="1:6" ht="12.75">
      <c r="A263" s="56"/>
      <c r="B263" s="57" t="s">
        <v>510</v>
      </c>
      <c r="C263" s="349">
        <f>Attachment7!K28</f>
        <v>0.3928015136226034</v>
      </c>
      <c r="D263" s="359">
        <v>0.35397100779670804</v>
      </c>
      <c r="F263" s="65" t="s">
        <v>564</v>
      </c>
    </row>
    <row r="264" spans="1:6" ht="12.75">
      <c r="A264" s="56"/>
      <c r="B264" s="57" t="s">
        <v>511</v>
      </c>
      <c r="C264" s="344">
        <f>CourtlandAvLove!L28</f>
        <v>4064</v>
      </c>
      <c r="D264" s="344">
        <v>2687</v>
      </c>
      <c r="F264" s="247" t="s">
        <v>565</v>
      </c>
    </row>
    <row r="265" spans="1:6" ht="12.75">
      <c r="A265" s="56"/>
      <c r="B265" s="57" t="s">
        <v>512</v>
      </c>
      <c r="C265" s="344">
        <f>CourtlandAvLove!M28</f>
        <v>4419</v>
      </c>
      <c r="D265" s="344">
        <v>9574</v>
      </c>
      <c r="F265" s="247" t="s">
        <v>563</v>
      </c>
    </row>
    <row r="266" spans="1:12" ht="12.75">
      <c r="A266" s="56" t="s">
        <v>83</v>
      </c>
      <c r="B266" s="57" t="s">
        <v>165</v>
      </c>
      <c r="C266" s="344">
        <f>CourtlandAvLove!C28</f>
        <v>50752</v>
      </c>
      <c r="D266" s="344">
        <v>111115</v>
      </c>
      <c r="F266" s="247" t="s">
        <v>563</v>
      </c>
      <c r="L266" s="247"/>
    </row>
    <row r="267" spans="1:12" ht="12.75">
      <c r="A267" s="56"/>
      <c r="B267" s="57" t="s">
        <v>506</v>
      </c>
      <c r="C267" s="344">
        <f>CourtlandAvLove!Q28</f>
        <v>25456</v>
      </c>
      <c r="D267" s="344">
        <v>32417</v>
      </c>
      <c r="F267" s="247" t="s">
        <v>572</v>
      </c>
      <c r="L267" s="247"/>
    </row>
    <row r="268" spans="1:12" ht="12.75">
      <c r="A268" s="56"/>
      <c r="B268" s="57" t="s">
        <v>176</v>
      </c>
      <c r="C268" s="349">
        <f>Attachment7!K29</f>
        <v>0.5225058296668762</v>
      </c>
      <c r="D268" s="359">
        <v>0.4627143941263573</v>
      </c>
      <c r="F268" s="65" t="s">
        <v>564</v>
      </c>
      <c r="L268" s="247"/>
    </row>
    <row r="269" spans="1:12" ht="12.75">
      <c r="A269" s="56"/>
      <c r="B269" s="57" t="s">
        <v>513</v>
      </c>
      <c r="C269" s="344">
        <f>CourtlandAvLove!O28</f>
        <v>3243</v>
      </c>
      <c r="D269" s="344">
        <v>7906</v>
      </c>
      <c r="F269" s="247" t="s">
        <v>563</v>
      </c>
      <c r="L269" s="247"/>
    </row>
    <row r="270" spans="1:8" ht="12.75">
      <c r="A270" s="56" t="s">
        <v>83</v>
      </c>
      <c r="B270" s="57" t="s">
        <v>166</v>
      </c>
      <c r="C270" s="344">
        <f>BureauT2!H66</f>
        <v>14130</v>
      </c>
      <c r="D270" s="344">
        <v>14130</v>
      </c>
      <c r="F270" s="65" t="s">
        <v>566</v>
      </c>
      <c r="H270" s="65" t="s">
        <v>575</v>
      </c>
    </row>
    <row r="271" spans="1:6" ht="25.5">
      <c r="A271" s="56" t="s">
        <v>83</v>
      </c>
      <c r="B271" s="248" t="s">
        <v>515</v>
      </c>
      <c r="C271" s="344">
        <v>25920</v>
      </c>
      <c r="D271" s="344">
        <v>41250</v>
      </c>
      <c r="F271" s="247" t="s">
        <v>573</v>
      </c>
    </row>
    <row r="272" spans="1:6" ht="12.75">
      <c r="A272" s="56"/>
      <c r="B272" s="57" t="s">
        <v>177</v>
      </c>
      <c r="C272" s="349">
        <f>Attachment7!K30</f>
        <v>0.4559466598933198</v>
      </c>
      <c r="D272" s="359">
        <v>0.4207724567694637</v>
      </c>
      <c r="F272" s="65" t="s">
        <v>564</v>
      </c>
    </row>
    <row r="273" spans="1:4" ht="12.75">
      <c r="A273" s="56"/>
      <c r="B273" s="57"/>
      <c r="C273" s="351"/>
      <c r="D273" s="351"/>
    </row>
    <row r="274" spans="1:4" ht="12.75">
      <c r="A274" s="56"/>
      <c r="B274" s="177" t="s">
        <v>514</v>
      </c>
      <c r="C274" s="351"/>
      <c r="D274" s="351"/>
    </row>
    <row r="275" spans="1:6" ht="12.75">
      <c r="A275" s="56" t="s">
        <v>83</v>
      </c>
      <c r="B275" s="57" t="s">
        <v>168</v>
      </c>
      <c r="C275" s="344">
        <v>46739</v>
      </c>
      <c r="D275" s="344">
        <v>79822</v>
      </c>
      <c r="F275" s="247" t="s">
        <v>581</v>
      </c>
    </row>
    <row r="276" spans="1:6" ht="12.75">
      <c r="A276" s="56" t="s">
        <v>83</v>
      </c>
      <c r="B276" s="57" t="s">
        <v>169</v>
      </c>
      <c r="C276" s="344">
        <v>48146</v>
      </c>
      <c r="D276" s="344">
        <v>67880</v>
      </c>
      <c r="F276" s="247" t="s">
        <v>581</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67" t="s">
        <v>51</v>
      </c>
      <c r="B1" s="367"/>
      <c r="C1" s="367"/>
      <c r="D1" s="367"/>
      <c r="E1" s="367"/>
    </row>
    <row r="2" spans="1:5" ht="39.75" customHeight="1">
      <c r="A2" s="42" t="s">
        <v>34</v>
      </c>
      <c r="B2" s="42" t="s">
        <v>48</v>
      </c>
      <c r="C2" s="42" t="s">
        <v>49</v>
      </c>
      <c r="D2" s="42" t="s">
        <v>50</v>
      </c>
      <c r="E2" s="221" t="s">
        <v>532</v>
      </c>
    </row>
    <row r="3" spans="1:5" ht="19.5" customHeight="1">
      <c r="A3" s="43">
        <f>+A4-1</f>
        <v>1997</v>
      </c>
      <c r="B3" s="47"/>
      <c r="C3" s="47"/>
      <c r="D3" s="218" t="s">
        <v>421</v>
      </c>
      <c r="E3" s="47">
        <f>+B3-C3</f>
        <v>0</v>
      </c>
    </row>
    <row r="4" spans="1:5" ht="19.5" customHeight="1">
      <c r="A4" s="43">
        <f>+A5-1</f>
        <v>1998</v>
      </c>
      <c r="B4" s="47"/>
      <c r="C4" s="47"/>
      <c r="D4" s="218" t="s">
        <v>421</v>
      </c>
      <c r="E4" s="47">
        <f>+B4-C4</f>
        <v>0</v>
      </c>
    </row>
    <row r="5" spans="1:5" ht="19.5" customHeight="1">
      <c r="A5" s="43">
        <f>+A6-1</f>
        <v>1999</v>
      </c>
      <c r="B5" s="47"/>
      <c r="C5" s="47"/>
      <c r="D5" s="218" t="s">
        <v>421</v>
      </c>
      <c r="E5" s="47">
        <f>+B5-C5</f>
        <v>0</v>
      </c>
    </row>
    <row r="6" spans="1:5" ht="19.5" customHeight="1">
      <c r="A6" s="43">
        <f>+A7-1</f>
        <v>2000</v>
      </c>
      <c r="B6" s="47"/>
      <c r="C6" s="47"/>
      <c r="D6" s="218" t="s">
        <v>421</v>
      </c>
      <c r="E6" s="47">
        <f>+B6-C6</f>
        <v>0</v>
      </c>
    </row>
    <row r="7" spans="1:5" ht="19.5" customHeight="1" thickBot="1">
      <c r="A7" s="44">
        <f>'T1'!A2</f>
        <v>2001</v>
      </c>
      <c r="B7" s="45"/>
      <c r="C7" s="45"/>
      <c r="D7" s="219" t="s">
        <v>421</v>
      </c>
      <c r="E7" s="45">
        <f>+B7-C7</f>
        <v>0</v>
      </c>
    </row>
    <row r="8" spans="1:5" ht="19.5" customHeight="1" thickTop="1">
      <c r="A8" s="46" t="s">
        <v>37</v>
      </c>
      <c r="B8" s="48" t="e">
        <f>ROUND(+AVERAGE(B3:B7),-1)</f>
        <v>#DIV/0!</v>
      </c>
      <c r="C8" s="48" t="e">
        <f>ROUND(+AVERAGE(C3:C7),-1)</f>
        <v>#DIV/0!</v>
      </c>
      <c r="D8" s="220" t="s">
        <v>421</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67" t="s">
        <v>52</v>
      </c>
      <c r="B1" s="367"/>
      <c r="C1" s="367"/>
      <c r="D1" s="367"/>
      <c r="E1" s="367"/>
      <c r="F1" s="367"/>
      <c r="G1" s="367"/>
    </row>
    <row r="2" spans="1:7" ht="12.75">
      <c r="A2" s="41"/>
      <c r="B2" s="368" t="s">
        <v>35</v>
      </c>
      <c r="C2" s="368"/>
      <c r="D2" s="368"/>
      <c r="E2" s="369" t="s">
        <v>3</v>
      </c>
      <c r="F2" s="369" t="s">
        <v>36</v>
      </c>
      <c r="G2" s="370" t="s">
        <v>531</v>
      </c>
    </row>
    <row r="3" spans="1:7" ht="39.75" customHeight="1">
      <c r="A3" s="42" t="s">
        <v>34</v>
      </c>
      <c r="B3" s="42" t="s">
        <v>53</v>
      </c>
      <c r="C3" s="42" t="s">
        <v>55</v>
      </c>
      <c r="D3" s="42" t="s">
        <v>4</v>
      </c>
      <c r="E3" s="369"/>
      <c r="F3" s="369"/>
      <c r="G3" s="370"/>
    </row>
    <row r="4" spans="1:7" ht="19.5" customHeight="1">
      <c r="A4" s="43">
        <f>+A5-1</f>
        <v>1997</v>
      </c>
      <c r="B4" s="47"/>
      <c r="C4" s="47"/>
      <c r="D4" s="47">
        <f>+B4+C4</f>
        <v>0</v>
      </c>
      <c r="E4" s="47"/>
      <c r="F4" s="218" t="s">
        <v>421</v>
      </c>
      <c r="G4" s="47">
        <f>+D4-(E4)</f>
        <v>0</v>
      </c>
    </row>
    <row r="5" spans="1:7" ht="19.5" customHeight="1">
      <c r="A5" s="43">
        <f>+A6-1</f>
        <v>1998</v>
      </c>
      <c r="B5" s="47"/>
      <c r="C5" s="47"/>
      <c r="D5" s="47">
        <f>+B5+C5</f>
        <v>0</v>
      </c>
      <c r="E5" s="47"/>
      <c r="F5" s="218" t="s">
        <v>421</v>
      </c>
      <c r="G5" s="47">
        <f>+D5-(E5)</f>
        <v>0</v>
      </c>
    </row>
    <row r="6" spans="1:7" ht="19.5" customHeight="1">
      <c r="A6" s="43">
        <f>+A7-1</f>
        <v>1999</v>
      </c>
      <c r="B6" s="47"/>
      <c r="C6" s="47"/>
      <c r="D6" s="47">
        <f>+B6+C6</f>
        <v>0</v>
      </c>
      <c r="E6" s="47"/>
      <c r="F6" s="218" t="s">
        <v>421</v>
      </c>
      <c r="G6" s="47">
        <f>+D6-(E6)</f>
        <v>0</v>
      </c>
    </row>
    <row r="7" spans="1:7" ht="19.5" customHeight="1">
      <c r="A7" s="43">
        <f>+A8-1</f>
        <v>2000</v>
      </c>
      <c r="B7" s="47"/>
      <c r="C7" s="47"/>
      <c r="D7" s="47">
        <f>+B7+C7</f>
        <v>0</v>
      </c>
      <c r="E7" s="47"/>
      <c r="F7" s="218" t="s">
        <v>421</v>
      </c>
      <c r="G7" s="47">
        <f>+D7-(E7)</f>
        <v>0</v>
      </c>
    </row>
    <row r="8" spans="1:7" ht="19.5" customHeight="1" thickBot="1">
      <c r="A8" s="44">
        <f>'T1'!A2</f>
        <v>2001</v>
      </c>
      <c r="B8" s="45"/>
      <c r="C8" s="45"/>
      <c r="D8" s="45">
        <f>+B8+C8</f>
        <v>0</v>
      </c>
      <c r="E8" s="45"/>
      <c r="F8" s="219"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67" t="s">
        <v>529</v>
      </c>
      <c r="B11" s="367"/>
      <c r="C11" s="367"/>
      <c r="D11" s="367"/>
      <c r="E11" s="367"/>
      <c r="F11" s="367"/>
      <c r="G11" s="367"/>
    </row>
    <row r="12" spans="1:7" ht="12.75" customHeight="1">
      <c r="A12" s="41"/>
      <c r="B12" s="368" t="s">
        <v>35</v>
      </c>
      <c r="C12" s="368"/>
      <c r="D12" s="368"/>
      <c r="E12" s="369" t="s">
        <v>3</v>
      </c>
      <c r="F12" s="369" t="s">
        <v>36</v>
      </c>
      <c r="G12" s="370" t="s">
        <v>531</v>
      </c>
    </row>
    <row r="13" spans="1:7" ht="39.75" customHeight="1">
      <c r="A13" s="42" t="s">
        <v>34</v>
      </c>
      <c r="B13" s="42" t="s">
        <v>53</v>
      </c>
      <c r="C13" s="42" t="s">
        <v>54</v>
      </c>
      <c r="D13" s="42" t="s">
        <v>4</v>
      </c>
      <c r="E13" s="369"/>
      <c r="F13" s="369"/>
      <c r="G13" s="370"/>
    </row>
    <row r="14" spans="1:7" ht="19.5" customHeight="1">
      <c r="A14" s="43">
        <f>+A15-1</f>
        <v>1997</v>
      </c>
      <c r="B14" s="47"/>
      <c r="C14" s="47"/>
      <c r="D14" s="47">
        <f>+B14+C14</f>
        <v>0</v>
      </c>
      <c r="E14" s="47"/>
      <c r="F14" s="47"/>
      <c r="G14" s="47">
        <f>+D14-(E14-F14)</f>
        <v>0</v>
      </c>
    </row>
    <row r="15" spans="1:7" ht="19.5" customHeight="1">
      <c r="A15" s="43">
        <f>+A16-1</f>
        <v>1998</v>
      </c>
      <c r="B15" s="47"/>
      <c r="C15" s="47"/>
      <c r="D15" s="47">
        <f>+B15+C15</f>
        <v>0</v>
      </c>
      <c r="E15" s="47"/>
      <c r="F15" s="47"/>
      <c r="G15" s="47">
        <f>+D15-(E15-F15)</f>
        <v>0</v>
      </c>
    </row>
    <row r="16" spans="1:7" ht="19.5" customHeight="1">
      <c r="A16" s="43">
        <f>+A17-1</f>
        <v>1999</v>
      </c>
      <c r="B16" s="47"/>
      <c r="C16" s="47"/>
      <c r="D16" s="47">
        <f>+B16+C16</f>
        <v>0</v>
      </c>
      <c r="E16" s="47"/>
      <c r="F16" s="47"/>
      <c r="G16" s="47">
        <f>+D16-(E16-F16)</f>
        <v>0</v>
      </c>
    </row>
    <row r="17" spans="1:7" ht="19.5" customHeight="1">
      <c r="A17" s="43">
        <f>+A18-1</f>
        <v>2000</v>
      </c>
      <c r="B17" s="47"/>
      <c r="C17" s="47"/>
      <c r="D17" s="47">
        <f>+B17+C17</f>
        <v>0</v>
      </c>
      <c r="E17" s="47"/>
      <c r="F17" s="47"/>
      <c r="G17" s="47">
        <f>+D17-(E17-F17)</f>
        <v>0</v>
      </c>
    </row>
    <row r="18" spans="1:7" ht="19.5" customHeight="1" thickBot="1">
      <c r="A18" s="44">
        <f>'T1'!A2</f>
        <v>2001</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A11:G11"/>
    <mergeCell ref="B12:D12"/>
    <mergeCell ref="E12:E13"/>
    <mergeCell ref="F12:F13"/>
    <mergeCell ref="G12:G13"/>
    <mergeCell ref="A1:G1"/>
    <mergeCell ref="E2:E3"/>
    <mergeCell ref="F2:F3"/>
    <mergeCell ref="G2:G3"/>
    <mergeCell ref="B2:D2"/>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67" t="s">
        <v>63</v>
      </c>
      <c r="B1" s="367"/>
      <c r="C1" s="367"/>
      <c r="D1" s="367"/>
      <c r="E1" s="367"/>
      <c r="F1" s="367"/>
      <c r="G1" s="367"/>
      <c r="H1" s="367"/>
      <c r="I1" s="367"/>
    </row>
    <row r="2" spans="1:9" ht="12.75" customHeight="1">
      <c r="A2" s="41"/>
      <c r="B2" s="368" t="s">
        <v>35</v>
      </c>
      <c r="C2" s="368"/>
      <c r="D2" s="368"/>
      <c r="E2" s="371" t="s">
        <v>3</v>
      </c>
      <c r="F2" s="372"/>
      <c r="G2" s="373"/>
      <c r="H2" s="369" t="s">
        <v>62</v>
      </c>
      <c r="I2" s="370" t="s">
        <v>533</v>
      </c>
    </row>
    <row r="3" spans="1:9" ht="39.75" customHeight="1">
      <c r="A3" s="42" t="s">
        <v>34</v>
      </c>
      <c r="B3" s="42" t="s">
        <v>56</v>
      </c>
      <c r="C3" s="42" t="s">
        <v>57</v>
      </c>
      <c r="D3" s="42" t="s">
        <v>58</v>
      </c>
      <c r="E3" s="42" t="s">
        <v>59</v>
      </c>
      <c r="F3" s="42" t="s">
        <v>60</v>
      </c>
      <c r="G3" s="42" t="s">
        <v>61</v>
      </c>
      <c r="H3" s="369"/>
      <c r="I3" s="370"/>
    </row>
    <row r="4" spans="1:9" ht="19.5" customHeight="1">
      <c r="A4" s="43">
        <f>+A5-1</f>
        <v>2000</v>
      </c>
      <c r="B4" s="47"/>
      <c r="C4" s="47"/>
      <c r="D4" s="47">
        <f>+B4-C4</f>
        <v>0</v>
      </c>
      <c r="E4" s="47"/>
      <c r="F4" s="47"/>
      <c r="G4" s="47">
        <f>+E4-F4</f>
        <v>0</v>
      </c>
      <c r="H4" s="47"/>
      <c r="I4" s="47">
        <f>+D4-(G4-H4)</f>
        <v>0</v>
      </c>
    </row>
    <row r="5" spans="1:9" ht="19.5" customHeight="1" thickBot="1">
      <c r="A5" s="44">
        <f>'T1'!A2</f>
        <v>2001</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67" t="s">
        <v>530</v>
      </c>
      <c r="B8" s="367"/>
      <c r="C8" s="367"/>
      <c r="D8" s="367"/>
      <c r="E8" s="367"/>
      <c r="F8" s="367"/>
      <c r="G8" s="367"/>
      <c r="H8" s="367"/>
      <c r="I8" s="367"/>
    </row>
    <row r="9" spans="1:9" ht="12.75" customHeight="1">
      <c r="A9" s="41"/>
      <c r="B9" s="368" t="s">
        <v>35</v>
      </c>
      <c r="C9" s="368"/>
      <c r="D9" s="368"/>
      <c r="E9" s="371" t="s">
        <v>3</v>
      </c>
      <c r="F9" s="372"/>
      <c r="G9" s="373"/>
      <c r="H9" s="369" t="s">
        <v>62</v>
      </c>
      <c r="I9" s="370" t="s">
        <v>533</v>
      </c>
    </row>
    <row r="10" spans="1:9" ht="40.5" customHeight="1">
      <c r="A10" s="42" t="s">
        <v>34</v>
      </c>
      <c r="B10" s="42" t="s">
        <v>56</v>
      </c>
      <c r="C10" s="42" t="s">
        <v>57</v>
      </c>
      <c r="D10" s="42" t="s">
        <v>58</v>
      </c>
      <c r="E10" s="42" t="s">
        <v>59</v>
      </c>
      <c r="F10" s="42" t="s">
        <v>60</v>
      </c>
      <c r="G10" s="42" t="s">
        <v>61</v>
      </c>
      <c r="H10" s="369"/>
      <c r="I10" s="370"/>
    </row>
    <row r="11" spans="1:9" ht="19.5" customHeight="1">
      <c r="A11" s="50">
        <f>+A12-1</f>
        <v>1999</v>
      </c>
      <c r="B11" s="47"/>
      <c r="C11" s="47"/>
      <c r="D11" s="47">
        <f>+B11-C11</f>
        <v>0</v>
      </c>
      <c r="E11" s="47"/>
      <c r="F11" s="47"/>
      <c r="G11" s="47">
        <f>+E11-F11</f>
        <v>0</v>
      </c>
      <c r="H11" s="47"/>
      <c r="I11" s="47">
        <f>+D11-(G11-H11)</f>
        <v>0</v>
      </c>
    </row>
    <row r="12" spans="1:9" ht="19.5" customHeight="1">
      <c r="A12" s="50">
        <f>+A13-1</f>
        <v>2000</v>
      </c>
      <c r="B12" s="51"/>
      <c r="C12" s="51"/>
      <c r="D12" s="47">
        <f>+B12-C12</f>
        <v>0</v>
      </c>
      <c r="E12" s="51"/>
      <c r="F12" s="51"/>
      <c r="G12" s="47">
        <f>+E12-F12</f>
        <v>0</v>
      </c>
      <c r="H12" s="47"/>
      <c r="I12" s="47">
        <f>+D12-(G12-H12)</f>
        <v>0</v>
      </c>
    </row>
    <row r="13" spans="1:9" ht="19.5" customHeight="1" thickBot="1">
      <c r="A13" s="44">
        <f>'T1'!A2</f>
        <v>2001</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E5" sqref="E5"/>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3">
        <f>MAINSTEM!B188</f>
        <v>238630</v>
      </c>
      <c r="B4" s="183">
        <f>INPUT!C196</f>
        <v>178139.99</v>
      </c>
      <c r="C4" s="183">
        <f>INPUT!C195</f>
        <v>118877.31</v>
      </c>
      <c r="D4" s="183">
        <f>MAINSTEM!B58</f>
        <v>61217</v>
      </c>
      <c r="E4" s="183">
        <f>MAINSTEM!B56</f>
        <v>11303</v>
      </c>
      <c r="F4" s="183">
        <f>J9+J10</f>
        <v>8355.736732</v>
      </c>
      <c r="G4" s="183">
        <f>E4-J16</f>
        <v>6671.437999999999</v>
      </c>
      <c r="H4" s="183">
        <f>F4+G4</f>
        <v>15027.174732</v>
      </c>
      <c r="I4" s="184">
        <f>J20+J21-J22-J23+J24</f>
        <v>2788.8175</v>
      </c>
      <c r="J4" s="184">
        <f>J28+J29+J30</f>
        <v>1014.5250000000001</v>
      </c>
      <c r="K4" s="184">
        <f>I4+J4</f>
        <v>3803.3425</v>
      </c>
      <c r="L4" s="184">
        <f>B4-C4+K4-H4</f>
        <v>48038.84776799999</v>
      </c>
      <c r="M4" s="184">
        <f>K4+L4</f>
        <v>51842.19026799999</v>
      </c>
      <c r="N4" s="184">
        <f>A4+M4</f>
        <v>290472.190268</v>
      </c>
      <c r="O4" s="184">
        <f>0.489*M4</f>
        <v>25350.831041051995</v>
      </c>
      <c r="P4" s="184">
        <f>0.511*N4</f>
        <v>148431.289226948</v>
      </c>
      <c r="Q4" s="184">
        <f>0.489*M4</f>
        <v>25350.831041051995</v>
      </c>
      <c r="R4" s="184">
        <f>0.511*M4</f>
        <v>26491.359226947996</v>
      </c>
    </row>
    <row r="5" spans="1:8" ht="12.75">
      <c r="A5" s="19"/>
      <c r="B5" s="19"/>
      <c r="C5" s="19"/>
      <c r="D5" s="19"/>
      <c r="E5" s="19"/>
      <c r="F5" s="19"/>
      <c r="G5" s="19"/>
      <c r="H5" s="19"/>
    </row>
    <row r="8" spans="2:10" ht="12.75">
      <c r="B8" s="185" t="s">
        <v>81</v>
      </c>
      <c r="C8" s="186"/>
      <c r="D8" s="186"/>
      <c r="E8" s="186"/>
      <c r="F8" s="186"/>
      <c r="G8" s="186"/>
      <c r="H8" s="186"/>
      <c r="I8" s="186"/>
      <c r="J8" s="187"/>
    </row>
    <row r="9" spans="2:13" ht="12.75">
      <c r="B9" s="193" t="str">
        <f>MAINSTEM!A89</f>
        <v>Return Flow From Courtland Canal To Republican River Above Hardy From Kansas</v>
      </c>
      <c r="C9" s="194"/>
      <c r="D9" s="194"/>
      <c r="E9" s="194"/>
      <c r="F9" s="194"/>
      <c r="G9" s="194"/>
      <c r="H9" s="194"/>
      <c r="I9" s="195"/>
      <c r="J9" s="79">
        <f>MAINSTEM!B89</f>
        <v>761.28</v>
      </c>
      <c r="K9" s="65"/>
      <c r="L9" s="65"/>
      <c r="M9" s="65"/>
    </row>
    <row r="10" spans="2:13" ht="12.75">
      <c r="B10" s="190" t="s">
        <v>522</v>
      </c>
      <c r="C10" s="191"/>
      <c r="D10" s="191"/>
      <c r="E10" s="191"/>
      <c r="F10" s="191"/>
      <c r="G10" s="191"/>
      <c r="H10" s="191"/>
      <c r="I10" s="192"/>
      <c r="J10" s="196">
        <f>(J12-J13-J15)*0.82</f>
        <v>7594.456732</v>
      </c>
      <c r="K10" s="65"/>
      <c r="L10" s="65"/>
      <c r="M10" s="65"/>
    </row>
    <row r="11" spans="2:13" ht="12.75">
      <c r="B11" s="188"/>
      <c r="C11" s="1"/>
      <c r="D11" s="1"/>
      <c r="E11" s="1"/>
      <c r="F11" s="1"/>
      <c r="G11" s="1"/>
      <c r="H11" s="1"/>
      <c r="I11" s="189"/>
      <c r="J11" s="197"/>
      <c r="K11" s="65"/>
      <c r="L11" s="65"/>
      <c r="M11" s="65"/>
    </row>
    <row r="12" spans="2:13" ht="12.75">
      <c r="B12" s="185" t="str">
        <f>MAINSTEM!A58</f>
        <v>Courtland Canal Diversions At Headgate</v>
      </c>
      <c r="C12" s="186"/>
      <c r="D12" s="186"/>
      <c r="E12" s="186"/>
      <c r="F12" s="186"/>
      <c r="G12" s="186"/>
      <c r="H12" s="186"/>
      <c r="I12" s="198"/>
      <c r="J12" s="199">
        <f>MAINSTEM!B58</f>
        <v>61217</v>
      </c>
      <c r="K12" s="65"/>
      <c r="L12" s="65"/>
      <c r="M12" s="65"/>
    </row>
    <row r="13" spans="2:13" ht="12.75">
      <c r="B13" s="193" t="str">
        <f>MAINSTEM!A62</f>
        <v>Courtland Canal At Kansas-Nebraska State Line</v>
      </c>
      <c r="C13" s="194"/>
      <c r="D13" s="194"/>
      <c r="E13" s="194"/>
      <c r="F13" s="194"/>
      <c r="G13" s="194"/>
      <c r="H13" s="194"/>
      <c r="I13" s="195"/>
      <c r="J13" s="79">
        <f>MAINSTEM!B62</f>
        <v>50752</v>
      </c>
      <c r="K13" s="65"/>
      <c r="L13" s="65"/>
      <c r="M13" s="65"/>
    </row>
    <row r="14" spans="2:13" ht="12.75">
      <c r="B14" s="188"/>
      <c r="C14" s="1"/>
      <c r="D14" s="1"/>
      <c r="E14" s="1"/>
      <c r="F14" s="1"/>
      <c r="G14" s="1"/>
      <c r="H14" s="1"/>
      <c r="I14" s="189"/>
      <c r="J14" s="197"/>
      <c r="K14" s="65"/>
      <c r="L14" s="65"/>
      <c r="M14" s="65"/>
    </row>
    <row r="15" spans="2:13" ht="12.75">
      <c r="B15" s="193" t="str">
        <f>MAINSTEM!A120</f>
        <v>NE Courtland Canal CBCU (includes transportation loss)</v>
      </c>
      <c r="C15" s="194"/>
      <c r="D15" s="194"/>
      <c r="E15" s="194"/>
      <c r="F15" s="194"/>
      <c r="G15" s="194"/>
      <c r="H15" s="194"/>
      <c r="I15" s="195"/>
      <c r="J15" s="201">
        <f>MAINSTEM!B120</f>
        <v>1203.4674</v>
      </c>
      <c r="K15" s="65"/>
      <c r="L15" s="65"/>
      <c r="M15" s="65"/>
    </row>
    <row r="16" spans="2:13" ht="12.75">
      <c r="B16" s="190" t="str">
        <f>MAINSTEM!A121</f>
        <v>Superior Canal CBCU</v>
      </c>
      <c r="C16" s="191"/>
      <c r="D16" s="191"/>
      <c r="E16" s="191"/>
      <c r="F16" s="191"/>
      <c r="G16" s="191"/>
      <c r="H16" s="191"/>
      <c r="I16" s="192"/>
      <c r="J16" s="196">
        <f>MAINSTEM!B121</f>
        <v>4631.562000000001</v>
      </c>
      <c r="K16" s="65"/>
      <c r="L16" s="65"/>
      <c r="M16" s="65"/>
    </row>
    <row r="17" spans="2:13" ht="12.75">
      <c r="B17" s="1"/>
      <c r="C17" s="1"/>
      <c r="D17" s="1"/>
      <c r="E17" s="1"/>
      <c r="F17" s="1"/>
      <c r="G17" s="1"/>
      <c r="H17" s="1"/>
      <c r="I17" s="189"/>
      <c r="J17" s="206"/>
      <c r="K17" s="65"/>
      <c r="L17" s="65"/>
      <c r="M17" s="65"/>
    </row>
    <row r="18" spans="9:13" ht="12.75">
      <c r="I18" s="65"/>
      <c r="J18" s="182"/>
      <c r="K18" s="65"/>
      <c r="L18" s="65"/>
      <c r="M18" s="65"/>
    </row>
    <row r="19" spans="1:13" ht="12.75">
      <c r="A19" s="205"/>
      <c r="B19" s="193" t="s">
        <v>317</v>
      </c>
      <c r="C19" s="186"/>
      <c r="D19" s="186"/>
      <c r="E19" s="186"/>
      <c r="F19" s="186"/>
      <c r="G19" s="186"/>
      <c r="H19" s="186"/>
      <c r="I19" s="198"/>
      <c r="J19" s="202"/>
      <c r="K19" s="65"/>
      <c r="L19" s="65"/>
      <c r="M19" s="65"/>
    </row>
    <row r="20" spans="1:13" ht="12.75">
      <c r="A20" s="205"/>
      <c r="B20" s="193" t="str">
        <f>INPUT!B144</f>
        <v>SW Diversions - Irrigation - Small Pumps - Nebraska Below Guide Rock</v>
      </c>
      <c r="C20" s="194"/>
      <c r="D20" s="194"/>
      <c r="E20" s="194"/>
      <c r="F20" s="194"/>
      <c r="G20" s="194"/>
      <c r="H20" s="194"/>
      <c r="I20" s="195"/>
      <c r="J20" s="201">
        <f>INPUT!C144</f>
        <v>1041.09</v>
      </c>
      <c r="K20" s="65"/>
      <c r="L20" s="54"/>
      <c r="M20" s="65"/>
    </row>
    <row r="21" spans="1:13" ht="12.75">
      <c r="A21" s="205"/>
      <c r="B21" s="193" t="str">
        <f>INPUT!B145</f>
        <v>SW Diversions - M&amp;I - Nebraska - Below Guide Rock</v>
      </c>
      <c r="C21" s="194"/>
      <c r="D21" s="194"/>
      <c r="E21" s="194"/>
      <c r="F21" s="194"/>
      <c r="G21" s="194"/>
      <c r="H21" s="194"/>
      <c r="I21" s="195"/>
      <c r="J21" s="201">
        <f>INPUT!C145</f>
        <v>0</v>
      </c>
      <c r="K21" s="65"/>
      <c r="L21" s="54"/>
      <c r="M21" s="65"/>
    </row>
    <row r="22" spans="1:13" ht="12.75">
      <c r="A22" s="205"/>
      <c r="B22" s="193" t="s">
        <v>523</v>
      </c>
      <c r="C22" s="194"/>
      <c r="D22" s="194"/>
      <c r="E22" s="194"/>
      <c r="F22" s="194"/>
      <c r="G22" s="194"/>
      <c r="H22" s="194"/>
      <c r="I22" s="195"/>
      <c r="J22" s="17">
        <f>J20*(1-PumperCUPercent)</f>
        <v>260.2725</v>
      </c>
      <c r="K22" s="65"/>
      <c r="L22" s="65"/>
      <c r="M22" s="65"/>
    </row>
    <row r="23" spans="1:13" ht="12.75">
      <c r="A23" s="205"/>
      <c r="B23" s="193" t="s">
        <v>524</v>
      </c>
      <c r="C23" s="194"/>
      <c r="D23" s="194"/>
      <c r="E23" s="194"/>
      <c r="F23" s="194"/>
      <c r="G23" s="194"/>
      <c r="H23" s="194"/>
      <c r="I23" s="195"/>
      <c r="J23" s="17">
        <f>J21*(1-MI_CUPercent)</f>
        <v>0</v>
      </c>
      <c r="K23" s="65"/>
      <c r="L23" s="65"/>
      <c r="M23" s="65"/>
    </row>
    <row r="24" spans="1:13" ht="12.75">
      <c r="A24" s="205"/>
      <c r="B24" s="190" t="str">
        <f>MAINSTEM!A9</f>
        <v>GW CBCU Nebraska Below Guide Rock</v>
      </c>
      <c r="C24" s="191"/>
      <c r="D24" s="191"/>
      <c r="E24" s="191"/>
      <c r="F24" s="191"/>
      <c r="G24" s="191"/>
      <c r="H24" s="191"/>
      <c r="I24" s="192"/>
      <c r="J24" s="200">
        <f>MAINSTEM!B9</f>
        <v>2008</v>
      </c>
      <c r="K24" s="65"/>
      <c r="L24" s="65"/>
      <c r="M24" s="65"/>
    </row>
    <row r="25" spans="9:13" ht="12.75">
      <c r="I25" s="65"/>
      <c r="J25" s="65"/>
      <c r="K25" s="65"/>
      <c r="L25" s="65"/>
      <c r="M25" s="65"/>
    </row>
    <row r="26" spans="9:13" ht="12.75">
      <c r="I26" s="65"/>
      <c r="J26" s="65"/>
      <c r="K26" s="65"/>
      <c r="L26" s="65"/>
      <c r="M26" s="65"/>
    </row>
    <row r="27" spans="1:10" ht="12.75">
      <c r="A27" s="205"/>
      <c r="B27" s="193" t="s">
        <v>525</v>
      </c>
      <c r="C27" s="186"/>
      <c r="D27" s="186"/>
      <c r="E27" s="186"/>
      <c r="F27" s="186"/>
      <c r="G27" s="186"/>
      <c r="H27" s="186"/>
      <c r="I27" s="186"/>
      <c r="J27" s="187"/>
    </row>
    <row r="28" spans="1:10" ht="12.75">
      <c r="A28" s="205"/>
      <c r="B28" s="193" t="str">
        <f>MAINSTEM!A112</f>
        <v>SW CBCU - Irrigation - Small Pumps</v>
      </c>
      <c r="C28" s="194"/>
      <c r="D28" s="194"/>
      <c r="E28" s="194"/>
      <c r="F28" s="194"/>
      <c r="G28" s="194"/>
      <c r="H28" s="194"/>
      <c r="I28" s="194"/>
      <c r="J28" s="204">
        <f>MAINSTEM!B112</f>
        <v>873.5250000000001</v>
      </c>
    </row>
    <row r="29" spans="1:10" ht="12.75">
      <c r="A29" s="205"/>
      <c r="B29" s="193" t="str">
        <f>MAINSTEM!A113</f>
        <v>SW CBCU - M&amp;I</v>
      </c>
      <c r="C29" s="194"/>
      <c r="D29" s="194"/>
      <c r="E29" s="194"/>
      <c r="F29" s="194"/>
      <c r="G29" s="194"/>
      <c r="H29" s="194"/>
      <c r="I29" s="194"/>
      <c r="J29" s="204">
        <f>MAINSTEM!B113</f>
        <v>0</v>
      </c>
    </row>
    <row r="30" spans="1:10" ht="12.75">
      <c r="A30" s="205"/>
      <c r="B30" s="190" t="str">
        <f>MAINSTEM!A7</f>
        <v>GW CBCU Kansas</v>
      </c>
      <c r="C30" s="191"/>
      <c r="D30" s="191"/>
      <c r="E30" s="191"/>
      <c r="F30" s="191"/>
      <c r="G30" s="191"/>
      <c r="H30" s="191"/>
      <c r="I30" s="191"/>
      <c r="J30" s="203">
        <f>MAINSTEM!B7</f>
        <v>141</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0">
      <selection activeCell="D27" sqref="D27"/>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1">
        <f>INPUT!C1</f>
        <v>2001</v>
      </c>
      <c r="B1" s="102"/>
    </row>
    <row r="2" ht="12.75">
      <c r="A2" s="3" t="s">
        <v>422</v>
      </c>
    </row>
    <row r="4" spans="1:11" ht="12.75">
      <c r="A4" s="99" t="s">
        <v>423</v>
      </c>
      <c r="B4" s="103" t="s">
        <v>424</v>
      </c>
      <c r="C4" s="103" t="s">
        <v>425</v>
      </c>
      <c r="D4" s="103" t="s">
        <v>426</v>
      </c>
      <c r="E4" s="103" t="s">
        <v>427</v>
      </c>
      <c r="F4" s="103" t="s">
        <v>428</v>
      </c>
      <c r="G4" s="103" t="s">
        <v>429</v>
      </c>
      <c r="H4" s="103" t="s">
        <v>430</v>
      </c>
      <c r="I4" s="103" t="s">
        <v>431</v>
      </c>
      <c r="J4" s="103" t="s">
        <v>432</v>
      </c>
      <c r="K4" s="104" t="s">
        <v>433</v>
      </c>
    </row>
    <row r="5" spans="1:11" ht="12.75">
      <c r="A5" s="107" t="s">
        <v>330</v>
      </c>
      <c r="B5" s="108" t="s">
        <v>434</v>
      </c>
      <c r="C5" s="108" t="s">
        <v>435</v>
      </c>
      <c r="D5" s="108" t="s">
        <v>436</v>
      </c>
      <c r="E5" s="108" t="s">
        <v>437</v>
      </c>
      <c r="F5" s="108" t="s">
        <v>438</v>
      </c>
      <c r="G5" s="108" t="s">
        <v>439</v>
      </c>
      <c r="H5" s="108" t="s">
        <v>440</v>
      </c>
      <c r="I5" s="111" t="s">
        <v>446</v>
      </c>
      <c r="J5" s="108" t="s">
        <v>441</v>
      </c>
      <c r="K5" s="109" t="s">
        <v>442</v>
      </c>
    </row>
    <row r="6" spans="1:11" ht="12.75">
      <c r="A6" s="110"/>
      <c r="B6" s="111" t="s">
        <v>396</v>
      </c>
      <c r="C6" s="111" t="s">
        <v>443</v>
      </c>
      <c r="D6" s="111" t="s">
        <v>444</v>
      </c>
      <c r="E6" s="111"/>
      <c r="F6" s="111" t="s">
        <v>439</v>
      </c>
      <c r="G6" s="111"/>
      <c r="H6" s="111" t="s">
        <v>445</v>
      </c>
      <c r="I6" s="111" t="s">
        <v>450</v>
      </c>
      <c r="J6" s="111" t="s">
        <v>447</v>
      </c>
      <c r="K6" s="112" t="s">
        <v>448</v>
      </c>
    </row>
    <row r="7" spans="1:11" ht="12.75">
      <c r="A7" s="110"/>
      <c r="B7" s="111"/>
      <c r="C7" s="111"/>
      <c r="D7" s="111"/>
      <c r="E7" s="111"/>
      <c r="F7" s="111" t="s">
        <v>449</v>
      </c>
      <c r="G7" s="111"/>
      <c r="H7" s="111"/>
      <c r="I7" s="111" t="s">
        <v>452</v>
      </c>
      <c r="J7" s="111" t="s">
        <v>451</v>
      </c>
      <c r="K7" s="112" t="s">
        <v>330</v>
      </c>
    </row>
    <row r="8" spans="1:11" ht="12.75">
      <c r="A8" s="110"/>
      <c r="B8" s="111"/>
      <c r="C8" s="111"/>
      <c r="D8" s="111"/>
      <c r="E8" s="111"/>
      <c r="F8" s="111"/>
      <c r="G8" s="111"/>
      <c r="H8" s="111"/>
      <c r="I8" s="111" t="s">
        <v>454</v>
      </c>
      <c r="J8" s="111" t="s">
        <v>453</v>
      </c>
      <c r="K8" s="112" t="s">
        <v>396</v>
      </c>
    </row>
    <row r="9" spans="1:11" ht="12.75">
      <c r="A9" s="110"/>
      <c r="B9" s="111"/>
      <c r="C9" s="111"/>
      <c r="D9" s="111"/>
      <c r="E9" s="111"/>
      <c r="F9" s="111"/>
      <c r="G9" s="111"/>
      <c r="H9" s="111"/>
      <c r="I9" s="111" t="s">
        <v>455</v>
      </c>
      <c r="J9" s="111" t="s">
        <v>328</v>
      </c>
      <c r="K9" s="112"/>
    </row>
    <row r="10" spans="1:11" ht="12.75">
      <c r="A10" s="107" t="s">
        <v>456</v>
      </c>
      <c r="B10" s="108" t="s">
        <v>457</v>
      </c>
      <c r="C10" s="108" t="s">
        <v>458</v>
      </c>
      <c r="D10" s="108" t="s">
        <v>459</v>
      </c>
      <c r="E10" s="108" t="s">
        <v>460</v>
      </c>
      <c r="F10" s="108" t="s">
        <v>461</v>
      </c>
      <c r="G10" s="108" t="s">
        <v>462</v>
      </c>
      <c r="H10" s="108" t="s">
        <v>463</v>
      </c>
      <c r="I10" s="108" t="s">
        <v>464</v>
      </c>
      <c r="J10" s="108" t="s">
        <v>465</v>
      </c>
      <c r="K10" s="113" t="s">
        <v>466</v>
      </c>
    </row>
    <row r="11" spans="1:11" ht="12.75">
      <c r="A11" s="110"/>
      <c r="B11" s="111" t="s">
        <v>396</v>
      </c>
      <c r="C11" s="111" t="s">
        <v>467</v>
      </c>
      <c r="D11" s="111" t="s">
        <v>468</v>
      </c>
      <c r="E11" s="111"/>
      <c r="F11" s="111" t="s">
        <v>37</v>
      </c>
      <c r="G11" s="111" t="s">
        <v>428</v>
      </c>
      <c r="H11" s="111" t="s">
        <v>429</v>
      </c>
      <c r="I11" s="111" t="s">
        <v>469</v>
      </c>
      <c r="J11" s="111" t="s">
        <v>431</v>
      </c>
      <c r="K11" s="112"/>
    </row>
    <row r="12" spans="1:11" ht="12.75">
      <c r="A12" s="110"/>
      <c r="B12" s="111"/>
      <c r="C12" s="111" t="s">
        <v>470</v>
      </c>
      <c r="D12" s="111" t="s">
        <v>471</v>
      </c>
      <c r="E12" s="111"/>
      <c r="F12" s="111" t="s">
        <v>472</v>
      </c>
      <c r="G12" s="111"/>
      <c r="H12" s="111"/>
      <c r="I12" s="111"/>
      <c r="J12" s="111"/>
      <c r="K12" s="112"/>
    </row>
    <row r="13" spans="1:11" ht="12.75">
      <c r="A13" s="110"/>
      <c r="B13" s="111"/>
      <c r="C13" s="111"/>
      <c r="D13" s="111"/>
      <c r="E13" s="111"/>
      <c r="F13" s="111" t="s">
        <v>473</v>
      </c>
      <c r="G13" s="111"/>
      <c r="H13" s="111"/>
      <c r="I13" s="111"/>
      <c r="J13" s="111"/>
      <c r="K13" s="112"/>
    </row>
    <row r="14" spans="1:11" ht="12.75">
      <c r="A14" s="110"/>
      <c r="B14" s="111"/>
      <c r="C14" s="111"/>
      <c r="D14" s="111"/>
      <c r="E14" s="111"/>
      <c r="F14" s="111" t="s">
        <v>474</v>
      </c>
      <c r="G14" s="111"/>
      <c r="H14" s="111"/>
      <c r="I14" s="111"/>
      <c r="J14" s="111"/>
      <c r="K14" s="112"/>
    </row>
    <row r="15" spans="1:11" ht="12.75">
      <c r="A15" s="110"/>
      <c r="B15" s="111"/>
      <c r="C15" s="111"/>
      <c r="D15" s="111"/>
      <c r="E15" s="111"/>
      <c r="F15" s="111" t="s">
        <v>475</v>
      </c>
      <c r="G15" s="111"/>
      <c r="H15" s="111"/>
      <c r="I15" s="111"/>
      <c r="J15" s="111"/>
      <c r="K15" s="112"/>
    </row>
    <row r="16" spans="1:11" ht="12.75">
      <c r="A16" s="233" t="s">
        <v>476</v>
      </c>
      <c r="B16" s="234">
        <v>100</v>
      </c>
      <c r="C16" s="234">
        <v>5</v>
      </c>
      <c r="D16" s="234">
        <v>60</v>
      </c>
      <c r="E16" s="234">
        <f aca="true" t="shared" si="0" ref="E16:E30">B16-D16</f>
        <v>40</v>
      </c>
      <c r="F16" s="235">
        <v>0.3</v>
      </c>
      <c r="G16" s="234">
        <f aca="true" t="shared" si="1" ref="G16:G30">D16*F16</f>
        <v>18</v>
      </c>
      <c r="H16" s="234">
        <f aca="true" t="shared" si="2" ref="H16:H30">E16+G16</f>
        <v>58</v>
      </c>
      <c r="I16" s="235">
        <v>0.82</v>
      </c>
      <c r="J16" s="234">
        <f aca="true" t="shared" si="3" ref="J16:J30">H16*I16</f>
        <v>47.559999999999995</v>
      </c>
      <c r="K16" s="235">
        <f>J16/B16</f>
        <v>0.47559999999999997</v>
      </c>
    </row>
    <row r="17" spans="1:11" ht="12.75">
      <c r="A17" s="105" t="s">
        <v>477</v>
      </c>
      <c r="B17" s="18">
        <v>6964</v>
      </c>
      <c r="C17" s="4"/>
      <c r="D17" s="30">
        <v>2733</v>
      </c>
      <c r="E17" s="4">
        <f t="shared" si="0"/>
        <v>4231</v>
      </c>
      <c r="F17" s="20">
        <v>0.3</v>
      </c>
      <c r="G17" s="4">
        <f t="shared" si="1"/>
        <v>819.9</v>
      </c>
      <c r="H17" s="4">
        <f t="shared" si="2"/>
        <v>5050.9</v>
      </c>
      <c r="I17" s="20">
        <v>0.82</v>
      </c>
      <c r="J17" s="4">
        <f t="shared" si="3"/>
        <v>4141.737999999999</v>
      </c>
      <c r="K17" s="20">
        <f>J17/B17</f>
        <v>0.594735496840896</v>
      </c>
    </row>
    <row r="18" spans="1:11" ht="27.75" customHeight="1">
      <c r="A18" s="105" t="s">
        <v>478</v>
      </c>
      <c r="B18" s="4">
        <v>7098</v>
      </c>
      <c r="C18" s="4"/>
      <c r="D18" s="4">
        <v>2615</v>
      </c>
      <c r="E18" s="4">
        <f t="shared" si="0"/>
        <v>4483</v>
      </c>
      <c r="F18" s="20">
        <v>0.3</v>
      </c>
      <c r="G18" s="4">
        <f t="shared" si="1"/>
        <v>784.5</v>
      </c>
      <c r="H18" s="4">
        <f t="shared" si="2"/>
        <v>5267.5</v>
      </c>
      <c r="I18" s="20">
        <v>0.82</v>
      </c>
      <c r="J18" s="4">
        <f t="shared" si="3"/>
        <v>4319.349999999999</v>
      </c>
      <c r="K18" s="20">
        <f aca="true" t="shared" si="4" ref="K18:K30">IF(B18&gt;0,J18/B18,1)</f>
        <v>0.6085305719921104</v>
      </c>
    </row>
    <row r="19" spans="1:11" ht="25.5">
      <c r="A19" s="105" t="s">
        <v>479</v>
      </c>
      <c r="B19" s="4">
        <v>17816</v>
      </c>
      <c r="C19" s="4"/>
      <c r="D19" s="4">
        <v>10336</v>
      </c>
      <c r="E19" s="4">
        <f t="shared" si="0"/>
        <v>7480</v>
      </c>
      <c r="F19" s="20">
        <v>0.3</v>
      </c>
      <c r="G19" s="4">
        <f t="shared" si="1"/>
        <v>3100.7999999999997</v>
      </c>
      <c r="H19" s="4">
        <f t="shared" si="2"/>
        <v>10580.8</v>
      </c>
      <c r="I19" s="20">
        <v>0.82</v>
      </c>
      <c r="J19" s="4">
        <f t="shared" si="3"/>
        <v>8676.256</v>
      </c>
      <c r="K19" s="20">
        <f t="shared" si="4"/>
        <v>0.4869923664122137</v>
      </c>
    </row>
    <row r="20" spans="1:11" ht="12.75">
      <c r="A20" s="105" t="s">
        <v>20</v>
      </c>
      <c r="B20" s="4">
        <v>5355</v>
      </c>
      <c r="C20" s="4"/>
      <c r="D20" s="4">
        <v>2977</v>
      </c>
      <c r="E20" s="4">
        <f t="shared" si="0"/>
        <v>2378</v>
      </c>
      <c r="F20" s="20">
        <v>0.3</v>
      </c>
      <c r="G20" s="4">
        <f t="shared" si="1"/>
        <v>893.1</v>
      </c>
      <c r="H20" s="4">
        <f t="shared" si="2"/>
        <v>3271.1</v>
      </c>
      <c r="I20" s="20">
        <v>0.82</v>
      </c>
      <c r="J20" s="4">
        <f t="shared" si="3"/>
        <v>2682.3019999999997</v>
      </c>
      <c r="K20" s="20">
        <f t="shared" si="4"/>
        <v>0.5008967320261437</v>
      </c>
    </row>
    <row r="21" spans="1:11" ht="12.75">
      <c r="A21" s="105" t="s">
        <v>480</v>
      </c>
      <c r="B21" s="4">
        <v>5872</v>
      </c>
      <c r="C21" s="4"/>
      <c r="D21" s="4">
        <v>3574</v>
      </c>
      <c r="E21" s="4">
        <f t="shared" si="0"/>
        <v>2298</v>
      </c>
      <c r="F21" s="20">
        <v>0.3</v>
      </c>
      <c r="G21" s="4">
        <f t="shared" si="1"/>
        <v>1072.2</v>
      </c>
      <c r="H21" s="4">
        <f t="shared" si="2"/>
        <v>3370.2</v>
      </c>
      <c r="I21" s="20">
        <v>0.82</v>
      </c>
      <c r="J21" s="4">
        <f t="shared" si="3"/>
        <v>2763.564</v>
      </c>
      <c r="K21" s="20">
        <f t="shared" si="4"/>
        <v>0.47063419618528607</v>
      </c>
    </row>
    <row r="22" spans="1:11" ht="12.75">
      <c r="A22" s="105" t="s">
        <v>481</v>
      </c>
      <c r="B22" s="4">
        <v>19629</v>
      </c>
      <c r="C22" s="4"/>
      <c r="D22" s="4">
        <v>11584</v>
      </c>
      <c r="E22" s="4">
        <f t="shared" si="0"/>
        <v>8045</v>
      </c>
      <c r="F22" s="20">
        <v>0.3</v>
      </c>
      <c r="G22" s="4">
        <f t="shared" si="1"/>
        <v>3475.2</v>
      </c>
      <c r="H22" s="4">
        <f t="shared" si="2"/>
        <v>11520.2</v>
      </c>
      <c r="I22" s="20">
        <v>0.82</v>
      </c>
      <c r="J22" s="4">
        <f t="shared" si="3"/>
        <v>9446.564</v>
      </c>
      <c r="K22" s="20">
        <f t="shared" si="4"/>
        <v>0.4812554893270162</v>
      </c>
    </row>
    <row r="23" spans="1:11" ht="12.75">
      <c r="A23" s="105" t="s">
        <v>482</v>
      </c>
      <c r="B23" s="4">
        <v>2988</v>
      </c>
      <c r="C23" s="4"/>
      <c r="D23" s="4">
        <v>1608</v>
      </c>
      <c r="E23" s="4">
        <f t="shared" si="0"/>
        <v>1380</v>
      </c>
      <c r="F23" s="20">
        <v>0.35</v>
      </c>
      <c r="G23" s="4">
        <f t="shared" si="1"/>
        <v>562.8</v>
      </c>
      <c r="H23" s="4">
        <f t="shared" si="2"/>
        <v>1942.8</v>
      </c>
      <c r="I23" s="20">
        <v>0.82</v>
      </c>
      <c r="J23" s="4">
        <f t="shared" si="3"/>
        <v>1593.0959999999998</v>
      </c>
      <c r="K23" s="20">
        <f t="shared" si="4"/>
        <v>0.5331646586345381</v>
      </c>
    </row>
    <row r="24" spans="1:11" ht="12.75">
      <c r="A24" s="105" t="s">
        <v>483</v>
      </c>
      <c r="B24" s="4">
        <v>28544</v>
      </c>
      <c r="C24" s="4"/>
      <c r="D24" s="4">
        <v>9671</v>
      </c>
      <c r="E24" s="4">
        <f t="shared" si="0"/>
        <v>18873</v>
      </c>
      <c r="F24" s="20">
        <v>0.35</v>
      </c>
      <c r="G24" s="4">
        <f t="shared" si="1"/>
        <v>3384.85</v>
      </c>
      <c r="H24" s="4">
        <f t="shared" si="2"/>
        <v>22257.85</v>
      </c>
      <c r="I24" s="20">
        <v>0.82</v>
      </c>
      <c r="J24" s="4">
        <f t="shared" si="3"/>
        <v>18251.436999999998</v>
      </c>
      <c r="K24" s="20">
        <f t="shared" si="4"/>
        <v>0.6394141325672645</v>
      </c>
    </row>
    <row r="25" spans="1:11" ht="12.75">
      <c r="A25" s="105" t="s">
        <v>484</v>
      </c>
      <c r="B25" s="4">
        <v>3409</v>
      </c>
      <c r="C25" s="4"/>
      <c r="D25" s="4">
        <v>2073</v>
      </c>
      <c r="E25" s="4">
        <f t="shared" si="0"/>
        <v>1336</v>
      </c>
      <c r="F25" s="20">
        <v>0.35</v>
      </c>
      <c r="G25" s="4">
        <f t="shared" si="1"/>
        <v>725.55</v>
      </c>
      <c r="H25" s="4">
        <f t="shared" si="2"/>
        <v>2061.55</v>
      </c>
      <c r="I25" s="20">
        <v>0.82</v>
      </c>
      <c r="J25" s="4">
        <f t="shared" si="3"/>
        <v>1690.471</v>
      </c>
      <c r="K25" s="20">
        <f t="shared" si="4"/>
        <v>0.4958847169257847</v>
      </c>
    </row>
    <row r="26" spans="1:11" ht="12.75">
      <c r="A26" s="236" t="s">
        <v>485</v>
      </c>
      <c r="B26" s="237">
        <v>5321</v>
      </c>
      <c r="C26" s="237"/>
      <c r="D26" s="237">
        <v>1938</v>
      </c>
      <c r="E26" s="237">
        <f t="shared" si="0"/>
        <v>3383</v>
      </c>
      <c r="F26" s="238">
        <v>0.3</v>
      </c>
      <c r="G26" s="237">
        <f t="shared" si="1"/>
        <v>581.4</v>
      </c>
      <c r="H26" s="237">
        <f t="shared" si="2"/>
        <v>3964.4</v>
      </c>
      <c r="I26" s="238">
        <v>0.82</v>
      </c>
      <c r="J26" s="237">
        <f t="shared" si="3"/>
        <v>3250.808</v>
      </c>
      <c r="K26" s="238">
        <f t="shared" si="4"/>
        <v>0.6109392971246006</v>
      </c>
    </row>
    <row r="27" spans="1:11" ht="12.75">
      <c r="A27" s="105" t="s">
        <v>486</v>
      </c>
      <c r="B27" s="4">
        <v>11303</v>
      </c>
      <c r="C27" s="4"/>
      <c r="D27" s="4">
        <v>4590</v>
      </c>
      <c r="E27" s="4">
        <f t="shared" si="0"/>
        <v>6713</v>
      </c>
      <c r="F27" s="20">
        <v>0.31</v>
      </c>
      <c r="G27" s="4">
        <f t="shared" si="1"/>
        <v>1422.9</v>
      </c>
      <c r="H27" s="4">
        <f t="shared" si="2"/>
        <v>8135.9</v>
      </c>
      <c r="I27" s="20">
        <v>0.82</v>
      </c>
      <c r="J27" s="4">
        <f t="shared" si="3"/>
        <v>6671.437999999999</v>
      </c>
      <c r="K27" s="20">
        <f t="shared" si="4"/>
        <v>0.5902360435282668</v>
      </c>
    </row>
    <row r="28" spans="1:11" ht="25.5">
      <c r="A28" s="105" t="s">
        <v>507</v>
      </c>
      <c r="B28" s="4">
        <v>1982</v>
      </c>
      <c r="C28" s="4"/>
      <c r="D28" s="4">
        <v>1341</v>
      </c>
      <c r="E28" s="4">
        <f>B28-D28</f>
        <v>641</v>
      </c>
      <c r="F28" s="20">
        <v>0.23</v>
      </c>
      <c r="G28" s="4">
        <f>D28*F28</f>
        <v>308.43</v>
      </c>
      <c r="H28" s="4">
        <f>E28+G28</f>
        <v>949.4300000000001</v>
      </c>
      <c r="I28" s="20">
        <v>0.82</v>
      </c>
      <c r="J28" s="4">
        <f>H28*I28</f>
        <v>778.5326</v>
      </c>
      <c r="K28" s="20">
        <f>IF(B28&gt;0,J28/B28,1)</f>
        <v>0.3928015136226034</v>
      </c>
    </row>
    <row r="29" spans="1:11" ht="39.75" customHeight="1">
      <c r="A29" s="105" t="s">
        <v>508</v>
      </c>
      <c r="B29" s="32">
        <v>25456</v>
      </c>
      <c r="C29" s="4"/>
      <c r="D29" s="32">
        <v>11994</v>
      </c>
      <c r="E29" s="4">
        <f t="shared" si="0"/>
        <v>13462</v>
      </c>
      <c r="F29" s="20">
        <v>0.23</v>
      </c>
      <c r="G29" s="4">
        <f t="shared" si="1"/>
        <v>2758.6200000000003</v>
      </c>
      <c r="H29" s="4">
        <f t="shared" si="2"/>
        <v>16220.62</v>
      </c>
      <c r="I29" s="20">
        <v>0.82</v>
      </c>
      <c r="J29" s="4">
        <f t="shared" si="3"/>
        <v>13300.9084</v>
      </c>
      <c r="K29" s="20">
        <f t="shared" si="4"/>
        <v>0.5225058296668762</v>
      </c>
    </row>
    <row r="30" spans="1:11" ht="40.5" customHeight="1">
      <c r="A30" s="105" t="s">
        <v>487</v>
      </c>
      <c r="B30" s="4">
        <v>47244</v>
      </c>
      <c r="C30" s="4"/>
      <c r="D30" s="4">
        <v>27240</v>
      </c>
      <c r="E30" s="4">
        <f t="shared" si="0"/>
        <v>20004</v>
      </c>
      <c r="F30" s="20">
        <v>0.23</v>
      </c>
      <c r="G30" s="4">
        <f t="shared" si="1"/>
        <v>6265.2</v>
      </c>
      <c r="H30" s="4">
        <f t="shared" si="2"/>
        <v>26269.2</v>
      </c>
      <c r="I30" s="20">
        <v>0.82</v>
      </c>
      <c r="J30" s="4">
        <f t="shared" si="3"/>
        <v>21540.744</v>
      </c>
      <c r="K30" s="20">
        <f t="shared" si="4"/>
        <v>0.4559466598933198</v>
      </c>
    </row>
    <row r="32" spans="1:11" ht="25.5">
      <c r="A32" s="106" t="s">
        <v>488</v>
      </c>
      <c r="B32" s="106"/>
      <c r="C32" s="106"/>
      <c r="D32" s="106"/>
      <c r="E32" s="106"/>
      <c r="F32" s="106"/>
      <c r="G32" s="106"/>
      <c r="H32" s="106"/>
      <c r="I32" s="106"/>
      <c r="J32" s="106"/>
      <c r="K32" s="106"/>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245" t="s">
        <v>555</v>
      </c>
    </row>
    <row r="41" spans="1:3" ht="12.75">
      <c r="A41" t="s">
        <v>548</v>
      </c>
      <c r="C41" t="s">
        <v>549</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G14" sqref="G14"/>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74" t="s">
        <v>578</v>
      </c>
      <c r="B1" s="375"/>
      <c r="C1" s="375"/>
      <c r="D1" s="375"/>
      <c r="E1" s="376"/>
    </row>
    <row r="2" spans="1:5" ht="13.5" customHeight="1">
      <c r="A2" s="377" t="s">
        <v>266</v>
      </c>
      <c r="B2" s="250" t="s">
        <v>0</v>
      </c>
      <c r="C2" s="250" t="s">
        <v>183</v>
      </c>
      <c r="D2" s="250" t="s">
        <v>1</v>
      </c>
      <c r="E2" s="250" t="s">
        <v>1</v>
      </c>
    </row>
    <row r="3" spans="1:5" ht="13.5" customHeight="1">
      <c r="A3" s="378"/>
      <c r="B3" s="251" t="s">
        <v>267</v>
      </c>
      <c r="C3" s="251" t="s">
        <v>267</v>
      </c>
      <c r="D3" s="251" t="s">
        <v>267</v>
      </c>
      <c r="E3" s="251" t="s">
        <v>268</v>
      </c>
    </row>
    <row r="4" spans="1:5" ht="13.5" customHeight="1">
      <c r="A4" s="252" t="s">
        <v>15</v>
      </c>
      <c r="B4" s="253">
        <v>1288</v>
      </c>
      <c r="C4" s="253">
        <v>190</v>
      </c>
      <c r="D4" s="253">
        <v>341</v>
      </c>
      <c r="E4" s="253">
        <v>0</v>
      </c>
    </row>
    <row r="5" spans="1:5" ht="13.5" customHeight="1">
      <c r="A5" s="252" t="s">
        <v>22</v>
      </c>
      <c r="B5" s="253">
        <v>0</v>
      </c>
      <c r="C5" s="253">
        <v>3553</v>
      </c>
      <c r="D5" s="253">
        <v>3075</v>
      </c>
      <c r="E5" s="253">
        <v>0</v>
      </c>
    </row>
    <row r="6" spans="1:5" ht="13.5" customHeight="1">
      <c r="A6" s="252" t="s">
        <v>16</v>
      </c>
      <c r="B6" s="253">
        <v>247</v>
      </c>
      <c r="C6" s="253">
        <v>0</v>
      </c>
      <c r="D6" s="253">
        <v>3099</v>
      </c>
      <c r="E6" s="253">
        <v>0</v>
      </c>
    </row>
    <row r="7" spans="1:5" ht="13.5" customHeight="1">
      <c r="A7" s="252" t="s">
        <v>19</v>
      </c>
      <c r="B7" s="253">
        <v>0</v>
      </c>
      <c r="C7" s="253">
        <v>0</v>
      </c>
      <c r="D7" s="253">
        <v>1221</v>
      </c>
      <c r="E7" s="253">
        <v>0</v>
      </c>
    </row>
    <row r="8" spans="1:5" ht="13.5" customHeight="1">
      <c r="A8" s="252" t="s">
        <v>18</v>
      </c>
      <c r="B8" s="253">
        <v>569</v>
      </c>
      <c r="C8" s="253">
        <v>0</v>
      </c>
      <c r="D8" s="253">
        <v>78287</v>
      </c>
      <c r="E8" s="253">
        <v>0</v>
      </c>
    </row>
    <row r="9" spans="1:5" ht="13.5" customHeight="1">
      <c r="A9" s="252" t="s">
        <v>14</v>
      </c>
      <c r="B9" s="253">
        <v>13534</v>
      </c>
      <c r="C9" s="253">
        <v>18</v>
      </c>
      <c r="D9" s="253">
        <v>1676</v>
      </c>
      <c r="E9" s="253">
        <v>0</v>
      </c>
    </row>
    <row r="10" spans="1:5" ht="13.5" customHeight="1">
      <c r="A10" s="252" t="s">
        <v>269</v>
      </c>
      <c r="B10" s="253">
        <v>-4176</v>
      </c>
      <c r="C10" s="253">
        <v>-98</v>
      </c>
      <c r="D10" s="253">
        <v>11690</v>
      </c>
      <c r="E10" s="253">
        <v>0</v>
      </c>
    </row>
    <row r="11" spans="1:5" ht="13.5" customHeight="1">
      <c r="A11" s="252" t="s">
        <v>270</v>
      </c>
      <c r="B11" s="253">
        <v>0</v>
      </c>
      <c r="C11" s="253">
        <v>147</v>
      </c>
      <c r="D11" s="253">
        <v>41325</v>
      </c>
      <c r="E11" s="253">
        <v>8837</v>
      </c>
    </row>
    <row r="12" spans="1:5" ht="13.5" customHeight="1">
      <c r="A12" s="252" t="s">
        <v>271</v>
      </c>
      <c r="B12" s="253">
        <v>0</v>
      </c>
      <c r="C12" s="253">
        <v>0</v>
      </c>
      <c r="D12" s="253">
        <v>24322</v>
      </c>
      <c r="E12" s="253">
        <v>169</v>
      </c>
    </row>
    <row r="13" spans="1:5" ht="13.5" customHeight="1">
      <c r="A13" s="252" t="s">
        <v>272</v>
      </c>
      <c r="B13" s="253">
        <v>0</v>
      </c>
      <c r="C13" s="253">
        <v>50</v>
      </c>
      <c r="D13" s="253">
        <v>2008</v>
      </c>
      <c r="E13" s="253">
        <v>0</v>
      </c>
    </row>
    <row r="14" spans="1:5" ht="13.5" customHeight="1">
      <c r="A14" s="252" t="s">
        <v>21</v>
      </c>
      <c r="B14" s="253">
        <v>0</v>
      </c>
      <c r="C14" s="253">
        <v>0</v>
      </c>
      <c r="D14" s="253">
        <v>27908</v>
      </c>
      <c r="E14" s="253">
        <v>9197</v>
      </c>
    </row>
    <row r="15" spans="1:5" ht="13.5" customHeight="1">
      <c r="A15" s="252" t="s">
        <v>24</v>
      </c>
      <c r="B15" s="253">
        <v>0</v>
      </c>
      <c r="C15" s="253">
        <v>3029</v>
      </c>
      <c r="D15" s="253">
        <v>0</v>
      </c>
      <c r="E15" s="253">
        <v>0</v>
      </c>
    </row>
    <row r="16" spans="1:5" ht="13.5" customHeight="1">
      <c r="A16" s="252" t="s">
        <v>20</v>
      </c>
      <c r="B16" s="253">
        <v>0</v>
      </c>
      <c r="C16" s="253">
        <v>0</v>
      </c>
      <c r="D16" s="253">
        <v>6175</v>
      </c>
      <c r="E16" s="253">
        <v>29</v>
      </c>
    </row>
    <row r="17" spans="1:5" ht="13.5" customHeight="1">
      <c r="A17" s="252" t="s">
        <v>5</v>
      </c>
      <c r="B17" s="253">
        <v>46</v>
      </c>
      <c r="C17" s="253">
        <v>0</v>
      </c>
      <c r="D17" s="253">
        <v>3216</v>
      </c>
      <c r="E17" s="253">
        <v>0</v>
      </c>
    </row>
    <row r="18" spans="1:5" ht="13.5" customHeight="1">
      <c r="A18" s="252" t="s">
        <v>23</v>
      </c>
      <c r="B18" s="253">
        <v>0</v>
      </c>
      <c r="C18" s="253">
        <v>-970</v>
      </c>
      <c r="D18" s="253">
        <v>873</v>
      </c>
      <c r="E18" s="253">
        <v>0</v>
      </c>
    </row>
    <row r="19" spans="1:5" ht="13.5" customHeight="1">
      <c r="A19" s="252" t="s">
        <v>17</v>
      </c>
      <c r="B19" s="253">
        <v>9748</v>
      </c>
      <c r="C19" s="253">
        <v>7450</v>
      </c>
      <c r="D19" s="253">
        <v>641</v>
      </c>
      <c r="E19" s="253">
        <v>0</v>
      </c>
    </row>
    <row r="20" spans="1:5" ht="13.5" customHeight="1">
      <c r="A20" s="252" t="s">
        <v>273</v>
      </c>
      <c r="B20" s="253">
        <v>0</v>
      </c>
      <c r="C20" s="253">
        <v>0</v>
      </c>
      <c r="D20" s="253">
        <v>1594</v>
      </c>
      <c r="E20" s="253">
        <v>0</v>
      </c>
    </row>
    <row r="21" spans="1:5" ht="13.5" customHeight="1">
      <c r="A21" s="252" t="s">
        <v>274</v>
      </c>
      <c r="B21" s="253">
        <v>1216</v>
      </c>
      <c r="C21" s="253">
        <v>0</v>
      </c>
      <c r="D21" s="253">
        <v>0</v>
      </c>
      <c r="E21" s="253">
        <v>0</v>
      </c>
    </row>
    <row r="22" spans="1:5" ht="13.5" customHeight="1">
      <c r="A22" s="252" t="s">
        <v>275</v>
      </c>
      <c r="B22" s="253">
        <v>0</v>
      </c>
      <c r="C22" s="253">
        <v>377</v>
      </c>
      <c r="D22" s="253">
        <v>0</v>
      </c>
      <c r="E22" s="253">
        <v>0</v>
      </c>
    </row>
    <row r="23" spans="1:5" ht="13.5" customHeight="1">
      <c r="A23" s="252" t="s">
        <v>276</v>
      </c>
      <c r="B23" s="253">
        <v>0</v>
      </c>
      <c r="C23" s="253">
        <v>0</v>
      </c>
      <c r="D23" s="253">
        <v>3996</v>
      </c>
      <c r="E23" s="253">
        <v>0</v>
      </c>
    </row>
    <row r="24" spans="1:5" ht="13.5" customHeight="1">
      <c r="A24" s="252" t="s">
        <v>277</v>
      </c>
      <c r="B24" s="253">
        <v>0</v>
      </c>
      <c r="C24" s="253">
        <v>42</v>
      </c>
      <c r="D24" s="253">
        <v>828</v>
      </c>
      <c r="E24" s="253">
        <v>10</v>
      </c>
    </row>
    <row r="25" spans="1:5" ht="13.5" customHeight="1">
      <c r="A25" s="252" t="s">
        <v>278</v>
      </c>
      <c r="B25" s="253">
        <v>0</v>
      </c>
      <c r="C25" s="253">
        <v>0</v>
      </c>
      <c r="D25" s="253">
        <v>350</v>
      </c>
      <c r="E25" s="253">
        <v>0</v>
      </c>
    </row>
    <row r="26" spans="1:5" ht="13.5" customHeight="1">
      <c r="A26" s="252" t="s">
        <v>279</v>
      </c>
      <c r="B26" s="253">
        <v>10</v>
      </c>
      <c r="C26" s="253">
        <v>0</v>
      </c>
      <c r="D26" s="253">
        <v>246</v>
      </c>
      <c r="E26" s="253">
        <v>0</v>
      </c>
    </row>
    <row r="27" spans="1:5" ht="13.5" customHeight="1">
      <c r="A27" s="254" t="s">
        <v>280</v>
      </c>
      <c r="B27" s="255">
        <v>-4181</v>
      </c>
      <c r="C27" s="255">
        <v>103</v>
      </c>
      <c r="D27" s="255">
        <v>79345</v>
      </c>
      <c r="E27" s="255">
        <v>9004</v>
      </c>
    </row>
    <row r="28" spans="1:5" ht="13.5" customHeight="1">
      <c r="A28" s="254" t="s">
        <v>4</v>
      </c>
      <c r="B28" s="255">
        <v>22481</v>
      </c>
      <c r="C28" s="255">
        <v>13800</v>
      </c>
      <c r="D28" s="255">
        <v>212869</v>
      </c>
      <c r="E28" s="255">
        <v>18245</v>
      </c>
    </row>
    <row r="29" spans="1:5" ht="31.5">
      <c r="A29" s="242" t="s">
        <v>281</v>
      </c>
      <c r="B29" s="243">
        <f>B10+B11+B12+B13+B24+B26</f>
        <v>-4166</v>
      </c>
      <c r="C29" s="243">
        <f>C10+C11+C12+C13+C24+C26</f>
        <v>141</v>
      </c>
      <c r="D29" s="243">
        <f>D10+D11+D12+D13+D24+D26</f>
        <v>80419</v>
      </c>
      <c r="E29" s="243">
        <f>E10+E11+E12+E13+E24+E26</f>
        <v>9016</v>
      </c>
    </row>
    <row r="30" spans="1:5" ht="15.75">
      <c r="A30" s="242" t="s">
        <v>284</v>
      </c>
      <c r="B30" s="243"/>
      <c r="C30" s="243"/>
      <c r="D30" s="243">
        <f>D29-D13</f>
        <v>78411</v>
      </c>
      <c r="E30" s="243">
        <f>E29-E13</f>
        <v>9016</v>
      </c>
    </row>
    <row r="31" spans="1:5" ht="31.5">
      <c r="A31" s="242" t="s">
        <v>285</v>
      </c>
      <c r="B31" s="243">
        <f>SUM(B4:B26)</f>
        <v>22482</v>
      </c>
      <c r="C31" s="243">
        <f>SUM(C4:C26)</f>
        <v>13788</v>
      </c>
      <c r="D31" s="243">
        <f>SUM(D4:D26)</f>
        <v>212871</v>
      </c>
      <c r="E31" s="243">
        <f>SUM(E4:E26)</f>
        <v>18242</v>
      </c>
    </row>
    <row r="35" spans="1:2" ht="12.75">
      <c r="A35" t="s">
        <v>551</v>
      </c>
      <c r="B35" t="s">
        <v>577</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zoomScalePageLayoutView="0" workbookViewId="0" topLeftCell="A1">
      <selection activeCell="D38" sqref="D38"/>
    </sheetView>
  </sheetViews>
  <sheetFormatPr defaultColWidth="9.140625" defaultRowHeight="12.75"/>
  <cols>
    <col min="1" max="1" width="17.28125" style="207" customWidth="1"/>
    <col min="2" max="2" width="14.28125" style="207" bestFit="1" customWidth="1"/>
    <col min="3" max="10" width="9.28125" style="207" bestFit="1" customWidth="1"/>
    <col min="11" max="11" width="12.8515625" style="207" customWidth="1"/>
    <col min="12" max="12" width="11.7109375" style="207" customWidth="1"/>
    <col min="13" max="14" width="11.00390625" style="207" customWidth="1"/>
    <col min="15" max="16" width="9.28125" style="207" bestFit="1" customWidth="1"/>
    <col min="17" max="17" width="13.28125" style="207" customWidth="1"/>
    <col min="18" max="18" width="13.421875" style="207" customWidth="1"/>
    <col min="19" max="19" width="11.28125" style="207" customWidth="1"/>
    <col min="20" max="16384" width="9.140625" style="207" customWidth="1"/>
  </cols>
  <sheetData>
    <row r="1" spans="1:19" ht="15">
      <c r="A1" s="270"/>
      <c r="B1" s="271"/>
      <c r="C1" s="271"/>
      <c r="D1" s="271"/>
      <c r="E1" s="271"/>
      <c r="F1" s="271"/>
      <c r="G1" s="271"/>
      <c r="H1" s="271"/>
      <c r="I1" s="271"/>
      <c r="J1" s="272" t="s">
        <v>290</v>
      </c>
      <c r="K1" s="271"/>
      <c r="L1" s="271"/>
      <c r="M1" s="271"/>
      <c r="N1" s="271"/>
      <c r="O1" s="271"/>
      <c r="P1" s="271">
        <v>2001</v>
      </c>
      <c r="Q1" s="271" t="s">
        <v>576</v>
      </c>
      <c r="R1" s="271"/>
      <c r="S1" s="273"/>
    </row>
    <row r="2" spans="1:19" ht="14.25">
      <c r="A2" s="274"/>
      <c r="B2" s="275"/>
      <c r="C2" s="275"/>
      <c r="D2" s="275"/>
      <c r="E2" s="275"/>
      <c r="F2" s="275"/>
      <c r="G2" s="275"/>
      <c r="H2" s="275"/>
      <c r="I2" s="275"/>
      <c r="J2" s="275"/>
      <c r="K2" s="275"/>
      <c r="L2" s="275"/>
      <c r="M2" s="275"/>
      <c r="N2" s="275"/>
      <c r="O2" s="275"/>
      <c r="P2" s="275"/>
      <c r="Q2" s="275"/>
      <c r="R2" s="275"/>
      <c r="S2" s="276"/>
    </row>
    <row r="3" spans="1:19" ht="14.25">
      <c r="A3" s="277">
        <v>1</v>
      </c>
      <c r="B3" s="277">
        <v>2</v>
      </c>
      <c r="C3" s="277">
        <v>3</v>
      </c>
      <c r="D3" s="277">
        <v>4</v>
      </c>
      <c r="E3" s="277">
        <v>5</v>
      </c>
      <c r="F3" s="277">
        <v>6</v>
      </c>
      <c r="G3" s="277">
        <v>7</v>
      </c>
      <c r="H3" s="277">
        <v>8</v>
      </c>
      <c r="I3" s="277">
        <v>9</v>
      </c>
      <c r="J3" s="277">
        <v>10</v>
      </c>
      <c r="K3" s="277">
        <v>11</v>
      </c>
      <c r="L3" s="277">
        <v>12</v>
      </c>
      <c r="M3" s="277">
        <v>13</v>
      </c>
      <c r="N3" s="277">
        <v>14</v>
      </c>
      <c r="O3" s="277">
        <v>15</v>
      </c>
      <c r="P3" s="277">
        <v>16</v>
      </c>
      <c r="Q3" s="277">
        <v>17</v>
      </c>
      <c r="R3" s="277">
        <v>18</v>
      </c>
      <c r="S3" s="278">
        <v>19</v>
      </c>
    </row>
    <row r="4" spans="1:19" ht="15" thickBot="1">
      <c r="A4" s="279"/>
      <c r="B4" s="280" t="s">
        <v>291</v>
      </c>
      <c r="C4" s="280" t="s">
        <v>291</v>
      </c>
      <c r="D4" s="280" t="s">
        <v>292</v>
      </c>
      <c r="E4" s="280" t="s">
        <v>293</v>
      </c>
      <c r="F4" s="280" t="s">
        <v>294</v>
      </c>
      <c r="G4" s="280" t="s">
        <v>292</v>
      </c>
      <c r="H4" s="280" t="s">
        <v>291</v>
      </c>
      <c r="I4" s="280" t="s">
        <v>295</v>
      </c>
      <c r="J4" s="280" t="s">
        <v>296</v>
      </c>
      <c r="K4" s="281" t="s">
        <v>297</v>
      </c>
      <c r="L4" s="281" t="s">
        <v>298</v>
      </c>
      <c r="M4" s="281" t="s">
        <v>299</v>
      </c>
      <c r="N4" s="281" t="s">
        <v>300</v>
      </c>
      <c r="O4" s="281" t="s">
        <v>301</v>
      </c>
      <c r="P4" s="281" t="s">
        <v>302</v>
      </c>
      <c r="Q4" s="281" t="s">
        <v>303</v>
      </c>
      <c r="R4" s="281" t="s">
        <v>304</v>
      </c>
      <c r="S4" s="282" t="s">
        <v>305</v>
      </c>
    </row>
    <row r="5" spans="1:19" ht="15">
      <c r="A5" s="283"/>
      <c r="B5" s="283"/>
      <c r="C5" s="283"/>
      <c r="D5" s="283"/>
      <c r="E5" s="283"/>
      <c r="F5" s="283"/>
      <c r="G5" s="283"/>
      <c r="H5" s="283"/>
      <c r="I5" s="283"/>
      <c r="J5" s="284"/>
      <c r="K5" s="285"/>
      <c r="L5" s="286"/>
      <c r="M5" s="287" t="s">
        <v>306</v>
      </c>
      <c r="N5" s="288"/>
      <c r="O5" s="289"/>
      <c r="P5" s="285"/>
      <c r="Q5" s="287" t="s">
        <v>307</v>
      </c>
      <c r="R5" s="289"/>
      <c r="S5" s="290" t="s">
        <v>308</v>
      </c>
    </row>
    <row r="6" spans="1:19" ht="15.75" thickBot="1">
      <c r="A6" s="283"/>
      <c r="B6" s="283"/>
      <c r="C6" s="283"/>
      <c r="D6" s="283"/>
      <c r="E6" s="283"/>
      <c r="F6" s="283"/>
      <c r="G6" s="283"/>
      <c r="H6" s="283"/>
      <c r="I6" s="283"/>
      <c r="J6" s="284"/>
      <c r="K6" s="291"/>
      <c r="L6" s="292"/>
      <c r="M6" s="293" t="s">
        <v>309</v>
      </c>
      <c r="N6" s="294"/>
      <c r="O6" s="295"/>
      <c r="P6" s="296"/>
      <c r="Q6" s="272" t="s">
        <v>306</v>
      </c>
      <c r="R6" s="297"/>
      <c r="S6" s="290"/>
    </row>
    <row r="7" spans="1:19" ht="15">
      <c r="A7" s="270"/>
      <c r="B7" s="270"/>
      <c r="C7" s="270"/>
      <c r="D7" s="270"/>
      <c r="E7" s="270"/>
      <c r="F7" s="270"/>
      <c r="G7" s="270"/>
      <c r="H7" s="270"/>
      <c r="I7" s="298"/>
      <c r="J7" s="284"/>
      <c r="K7" s="285"/>
      <c r="L7" s="286" t="s">
        <v>310</v>
      </c>
      <c r="M7" s="299"/>
      <c r="N7" s="285" t="s">
        <v>311</v>
      </c>
      <c r="O7" s="289"/>
      <c r="P7" s="296"/>
      <c r="Q7" s="272" t="s">
        <v>312</v>
      </c>
      <c r="R7" s="297"/>
      <c r="S7" s="290" t="s">
        <v>313</v>
      </c>
    </row>
    <row r="8" spans="1:19" ht="15.75" thickBot="1">
      <c r="A8" s="270"/>
      <c r="B8" s="270"/>
      <c r="C8" s="298"/>
      <c r="D8" s="300" t="s">
        <v>314</v>
      </c>
      <c r="E8" s="270"/>
      <c r="F8" s="298"/>
      <c r="G8" s="300" t="s">
        <v>315</v>
      </c>
      <c r="H8" s="300" t="s">
        <v>316</v>
      </c>
      <c r="I8" s="298"/>
      <c r="J8" s="284"/>
      <c r="K8" s="291"/>
      <c r="L8" s="292" t="s">
        <v>317</v>
      </c>
      <c r="M8" s="301"/>
      <c r="N8" s="291" t="s">
        <v>318</v>
      </c>
      <c r="O8" s="295"/>
      <c r="P8" s="291"/>
      <c r="Q8" s="293" t="s">
        <v>319</v>
      </c>
      <c r="R8" s="295"/>
      <c r="S8" s="290" t="s">
        <v>320</v>
      </c>
    </row>
    <row r="9" spans="1:19" ht="15">
      <c r="A9" s="270"/>
      <c r="B9" s="270"/>
      <c r="C9" s="298"/>
      <c r="D9" s="302" t="s">
        <v>321</v>
      </c>
      <c r="E9" s="302" t="s">
        <v>4</v>
      </c>
      <c r="F9" s="302" t="s">
        <v>4</v>
      </c>
      <c r="G9" s="300" t="s">
        <v>321</v>
      </c>
      <c r="H9" s="300" t="s">
        <v>322</v>
      </c>
      <c r="I9" s="302" t="s">
        <v>4</v>
      </c>
      <c r="J9" s="303" t="s">
        <v>4</v>
      </c>
      <c r="K9" s="285"/>
      <c r="L9" s="286" t="s">
        <v>323</v>
      </c>
      <c r="M9" s="299"/>
      <c r="N9" s="285" t="s">
        <v>324</v>
      </c>
      <c r="O9" s="289"/>
      <c r="P9" s="285"/>
      <c r="Q9" s="286" t="s">
        <v>323</v>
      </c>
      <c r="R9" s="299"/>
      <c r="S9" s="290" t="s">
        <v>325</v>
      </c>
    </row>
    <row r="10" spans="1:19" ht="14.25">
      <c r="A10" s="298"/>
      <c r="B10" s="302"/>
      <c r="C10" s="302"/>
      <c r="D10" s="302" t="s">
        <v>326</v>
      </c>
      <c r="E10" s="302" t="s">
        <v>327</v>
      </c>
      <c r="F10" s="302" t="s">
        <v>328</v>
      </c>
      <c r="G10" s="300" t="s">
        <v>326</v>
      </c>
      <c r="H10" s="300" t="s">
        <v>329</v>
      </c>
      <c r="I10" s="302" t="s">
        <v>327</v>
      </c>
      <c r="J10" s="303" t="s">
        <v>328</v>
      </c>
      <c r="K10" s="296"/>
      <c r="L10" s="304" t="s">
        <v>330</v>
      </c>
      <c r="M10" s="297"/>
      <c r="N10" s="296" t="s">
        <v>331</v>
      </c>
      <c r="O10" s="297"/>
      <c r="P10" s="296"/>
      <c r="Q10" s="304" t="s">
        <v>330</v>
      </c>
      <c r="R10" s="297"/>
      <c r="S10" s="290" t="s">
        <v>313</v>
      </c>
    </row>
    <row r="11" spans="1:19" ht="15" thickBot="1">
      <c r="A11" s="298"/>
      <c r="B11" s="302" t="s">
        <v>332</v>
      </c>
      <c r="C11" s="302" t="s">
        <v>332</v>
      </c>
      <c r="D11" s="302" t="s">
        <v>333</v>
      </c>
      <c r="E11" s="302" t="s">
        <v>334</v>
      </c>
      <c r="F11" s="302" t="s">
        <v>335</v>
      </c>
      <c r="G11" s="302" t="s">
        <v>333</v>
      </c>
      <c r="H11" s="302" t="s">
        <v>332</v>
      </c>
      <c r="I11" s="302" t="s">
        <v>334</v>
      </c>
      <c r="J11" s="303" t="s">
        <v>335</v>
      </c>
      <c r="K11" s="291"/>
      <c r="L11" s="292" t="s">
        <v>336</v>
      </c>
      <c r="M11" s="295"/>
      <c r="N11" s="291" t="s">
        <v>337</v>
      </c>
      <c r="O11" s="295"/>
      <c r="P11" s="291"/>
      <c r="Q11" s="292" t="s">
        <v>338</v>
      </c>
      <c r="R11" s="295"/>
      <c r="S11" s="290" t="s">
        <v>339</v>
      </c>
    </row>
    <row r="12" spans="1:19" ht="14.25">
      <c r="A12" s="302" t="s">
        <v>340</v>
      </c>
      <c r="B12" s="302" t="s">
        <v>330</v>
      </c>
      <c r="C12" s="302" t="s">
        <v>330</v>
      </c>
      <c r="D12" s="302" t="s">
        <v>330</v>
      </c>
      <c r="E12" s="302" t="s">
        <v>335</v>
      </c>
      <c r="F12" s="302" t="s">
        <v>314</v>
      </c>
      <c r="G12" s="302" t="s">
        <v>330</v>
      </c>
      <c r="H12" s="302" t="s">
        <v>330</v>
      </c>
      <c r="I12" s="302" t="s">
        <v>335</v>
      </c>
      <c r="J12" s="303" t="s">
        <v>315</v>
      </c>
      <c r="K12" s="305" t="s">
        <v>314</v>
      </c>
      <c r="L12" s="306" t="s">
        <v>315</v>
      </c>
      <c r="M12" s="307"/>
      <c r="N12" s="305" t="s">
        <v>315</v>
      </c>
      <c r="O12" s="307"/>
      <c r="P12" s="305" t="s">
        <v>314</v>
      </c>
      <c r="Q12" s="306" t="s">
        <v>315</v>
      </c>
      <c r="R12" s="289"/>
      <c r="S12" s="290"/>
    </row>
    <row r="13" spans="1:19" ht="15" thickBot="1">
      <c r="A13" s="308"/>
      <c r="B13" s="309" t="s">
        <v>341</v>
      </c>
      <c r="C13" s="310" t="s">
        <v>342</v>
      </c>
      <c r="D13" s="310" t="s">
        <v>343</v>
      </c>
      <c r="E13" s="310" t="s">
        <v>314</v>
      </c>
      <c r="F13" s="310" t="s">
        <v>343</v>
      </c>
      <c r="G13" s="310" t="s">
        <v>337</v>
      </c>
      <c r="H13" s="309" t="s">
        <v>344</v>
      </c>
      <c r="I13" s="310" t="s">
        <v>315</v>
      </c>
      <c r="J13" s="311" t="s">
        <v>337</v>
      </c>
      <c r="K13" s="312" t="s">
        <v>321</v>
      </c>
      <c r="L13" s="313" t="s">
        <v>321</v>
      </c>
      <c r="M13" s="314" t="s">
        <v>345</v>
      </c>
      <c r="N13" s="312" t="s">
        <v>321</v>
      </c>
      <c r="O13" s="314" t="s">
        <v>345</v>
      </c>
      <c r="P13" s="312" t="s">
        <v>321</v>
      </c>
      <c r="Q13" s="313" t="s">
        <v>321</v>
      </c>
      <c r="R13" s="315" t="s">
        <v>345</v>
      </c>
      <c r="S13" s="316"/>
    </row>
    <row r="14" spans="1:19" ht="15" thickBot="1">
      <c r="A14" s="317"/>
      <c r="B14" s="318"/>
      <c r="C14" s="318"/>
      <c r="D14" s="318"/>
      <c r="E14" s="318"/>
      <c r="F14" s="318"/>
      <c r="G14" s="318"/>
      <c r="H14" s="318"/>
      <c r="I14" s="318"/>
      <c r="J14" s="319"/>
      <c r="K14" s="320"/>
      <c r="L14" s="321"/>
      <c r="M14" s="342"/>
      <c r="N14" s="320"/>
      <c r="O14" s="342"/>
      <c r="P14" s="320"/>
      <c r="Q14" s="321"/>
      <c r="R14" s="322"/>
      <c r="S14" s="323"/>
    </row>
    <row r="15" spans="1:19" ht="15" thickTop="1">
      <c r="A15" s="324" t="s">
        <v>346</v>
      </c>
      <c r="B15" s="325">
        <v>5238</v>
      </c>
      <c r="C15" s="325">
        <v>4633</v>
      </c>
      <c r="D15" s="268">
        <v>0</v>
      </c>
      <c r="E15" s="326">
        <v>4633</v>
      </c>
      <c r="F15" s="259">
        <v>605</v>
      </c>
      <c r="G15" s="325">
        <v>0</v>
      </c>
      <c r="H15" s="268">
        <v>4027</v>
      </c>
      <c r="I15" s="326">
        <v>4027</v>
      </c>
      <c r="J15" s="261">
        <v>606</v>
      </c>
      <c r="K15" s="260">
        <v>0</v>
      </c>
      <c r="L15" s="259">
        <v>0</v>
      </c>
      <c r="M15" s="264">
        <v>605</v>
      </c>
      <c r="N15" s="260">
        <v>0</v>
      </c>
      <c r="O15" s="264">
        <v>606</v>
      </c>
      <c r="P15" s="260">
        <v>0</v>
      </c>
      <c r="Q15" s="259">
        <v>0</v>
      </c>
      <c r="R15" s="261">
        <v>5238</v>
      </c>
      <c r="S15" s="260">
        <v>5238</v>
      </c>
    </row>
    <row r="16" spans="1:19" ht="14.25">
      <c r="A16" s="282" t="s">
        <v>347</v>
      </c>
      <c r="B16" s="327">
        <v>722</v>
      </c>
      <c r="C16" s="327">
        <v>762</v>
      </c>
      <c r="D16" s="269">
        <v>0</v>
      </c>
      <c r="E16" s="328">
        <v>762</v>
      </c>
      <c r="F16" s="262">
        <v>-40</v>
      </c>
      <c r="G16" s="327">
        <v>0</v>
      </c>
      <c r="H16" s="269">
        <v>764</v>
      </c>
      <c r="I16" s="328">
        <v>764</v>
      </c>
      <c r="J16" s="264">
        <v>-2</v>
      </c>
      <c r="K16" s="263">
        <v>0</v>
      </c>
      <c r="L16" s="262">
        <v>0</v>
      </c>
      <c r="M16" s="264">
        <v>-40</v>
      </c>
      <c r="N16" s="263">
        <v>0</v>
      </c>
      <c r="O16" s="264">
        <v>-2</v>
      </c>
      <c r="P16" s="263">
        <v>0</v>
      </c>
      <c r="Q16" s="262">
        <v>0</v>
      </c>
      <c r="R16" s="264">
        <v>722</v>
      </c>
      <c r="S16" s="263">
        <v>722</v>
      </c>
    </row>
    <row r="17" spans="1:19" ht="14.25">
      <c r="A17" s="278" t="s">
        <v>348</v>
      </c>
      <c r="B17" s="329">
        <v>0</v>
      </c>
      <c r="C17" s="329">
        <v>0</v>
      </c>
      <c r="D17" s="330">
        <v>0</v>
      </c>
      <c r="E17" s="331">
        <v>0</v>
      </c>
      <c r="F17" s="332">
        <v>0</v>
      </c>
      <c r="G17" s="329">
        <v>0</v>
      </c>
      <c r="H17" s="330">
        <v>0</v>
      </c>
      <c r="I17" s="331">
        <v>0</v>
      </c>
      <c r="J17" s="333">
        <v>0</v>
      </c>
      <c r="K17" s="334">
        <v>0</v>
      </c>
      <c r="L17" s="332">
        <v>0</v>
      </c>
      <c r="M17" s="333">
        <v>0</v>
      </c>
      <c r="N17" s="334">
        <v>0</v>
      </c>
      <c r="O17" s="333">
        <v>0</v>
      </c>
      <c r="P17" s="334">
        <v>0</v>
      </c>
      <c r="Q17" s="332">
        <v>0</v>
      </c>
      <c r="R17" s="333">
        <v>0</v>
      </c>
      <c r="S17" s="334">
        <v>0</v>
      </c>
    </row>
    <row r="18" spans="1:19" ht="14.25">
      <c r="A18" s="278" t="s">
        <v>349</v>
      </c>
      <c r="B18" s="329">
        <v>0</v>
      </c>
      <c r="C18" s="329">
        <v>0</v>
      </c>
      <c r="D18" s="330">
        <v>0</v>
      </c>
      <c r="E18" s="331">
        <v>0</v>
      </c>
      <c r="F18" s="332">
        <v>0</v>
      </c>
      <c r="G18" s="329">
        <v>0</v>
      </c>
      <c r="H18" s="330">
        <v>0</v>
      </c>
      <c r="I18" s="331">
        <v>0</v>
      </c>
      <c r="J18" s="333">
        <v>0</v>
      </c>
      <c r="K18" s="334">
        <v>0</v>
      </c>
      <c r="L18" s="332">
        <v>0</v>
      </c>
      <c r="M18" s="333">
        <v>0</v>
      </c>
      <c r="N18" s="334">
        <v>0</v>
      </c>
      <c r="O18" s="333">
        <v>0</v>
      </c>
      <c r="P18" s="334">
        <v>0</v>
      </c>
      <c r="Q18" s="332">
        <v>0</v>
      </c>
      <c r="R18" s="333">
        <v>0</v>
      </c>
      <c r="S18" s="334">
        <v>0</v>
      </c>
    </row>
    <row r="19" spans="1:19" ht="14.25">
      <c r="A19" s="278" t="s">
        <v>350</v>
      </c>
      <c r="B19" s="329">
        <v>0</v>
      </c>
      <c r="C19" s="329">
        <v>0</v>
      </c>
      <c r="D19" s="330">
        <v>0</v>
      </c>
      <c r="E19" s="331">
        <v>0</v>
      </c>
      <c r="F19" s="332">
        <v>0</v>
      </c>
      <c r="G19" s="329">
        <v>0</v>
      </c>
      <c r="H19" s="330">
        <v>0</v>
      </c>
      <c r="I19" s="331">
        <v>0</v>
      </c>
      <c r="J19" s="333">
        <v>0</v>
      </c>
      <c r="K19" s="334">
        <v>0</v>
      </c>
      <c r="L19" s="332">
        <v>0</v>
      </c>
      <c r="M19" s="333">
        <v>0</v>
      </c>
      <c r="N19" s="334">
        <v>0</v>
      </c>
      <c r="O19" s="333">
        <v>0</v>
      </c>
      <c r="P19" s="334">
        <v>0</v>
      </c>
      <c r="Q19" s="332">
        <v>0</v>
      </c>
      <c r="R19" s="333">
        <v>0</v>
      </c>
      <c r="S19" s="334">
        <v>0</v>
      </c>
    </row>
    <row r="20" spans="1:19" ht="14.25">
      <c r="A20" s="278" t="s">
        <v>351</v>
      </c>
      <c r="B20" s="329">
        <v>7544</v>
      </c>
      <c r="C20" s="329">
        <v>5576</v>
      </c>
      <c r="D20" s="330">
        <v>137</v>
      </c>
      <c r="E20" s="331">
        <v>5713</v>
      </c>
      <c r="F20" s="332">
        <v>1831</v>
      </c>
      <c r="G20" s="329">
        <v>2684</v>
      </c>
      <c r="H20" s="330">
        <v>1324</v>
      </c>
      <c r="I20" s="331">
        <v>4008</v>
      </c>
      <c r="J20" s="333">
        <v>1568</v>
      </c>
      <c r="K20" s="334">
        <v>43</v>
      </c>
      <c r="L20" s="332">
        <v>1197</v>
      </c>
      <c r="M20" s="333">
        <v>591</v>
      </c>
      <c r="N20" s="334">
        <v>1050</v>
      </c>
      <c r="O20" s="333">
        <v>518</v>
      </c>
      <c r="P20" s="334">
        <v>180</v>
      </c>
      <c r="Q20" s="332">
        <v>4931</v>
      </c>
      <c r="R20" s="333">
        <v>2433</v>
      </c>
      <c r="S20" s="334">
        <v>7544</v>
      </c>
    </row>
    <row r="21" spans="1:19" ht="14.25">
      <c r="A21" s="278" t="s">
        <v>352</v>
      </c>
      <c r="B21" s="329">
        <v>19525</v>
      </c>
      <c r="C21" s="329">
        <v>15999</v>
      </c>
      <c r="D21" s="330">
        <v>589</v>
      </c>
      <c r="E21" s="331">
        <v>16588</v>
      </c>
      <c r="F21" s="332">
        <v>2937</v>
      </c>
      <c r="G21" s="329">
        <v>5702</v>
      </c>
      <c r="H21" s="330">
        <v>8933</v>
      </c>
      <c r="I21" s="331">
        <v>14635</v>
      </c>
      <c r="J21" s="333">
        <v>1364</v>
      </c>
      <c r="K21" s="334">
        <v>104</v>
      </c>
      <c r="L21" s="332">
        <v>1104</v>
      </c>
      <c r="M21" s="333">
        <v>1729</v>
      </c>
      <c r="N21" s="334">
        <v>531</v>
      </c>
      <c r="O21" s="333">
        <v>833</v>
      </c>
      <c r="P21" s="334">
        <v>693</v>
      </c>
      <c r="Q21" s="332">
        <v>7337</v>
      </c>
      <c r="R21" s="333">
        <v>11495</v>
      </c>
      <c r="S21" s="334">
        <v>19525</v>
      </c>
    </row>
    <row r="22" spans="1:19" ht="14.25">
      <c r="A22" s="278" t="s">
        <v>353</v>
      </c>
      <c r="B22" s="329">
        <v>18462</v>
      </c>
      <c r="C22" s="329">
        <v>14946</v>
      </c>
      <c r="D22" s="330">
        <v>956</v>
      </c>
      <c r="E22" s="331">
        <v>15902</v>
      </c>
      <c r="F22" s="332">
        <v>2560</v>
      </c>
      <c r="G22" s="329">
        <v>9229</v>
      </c>
      <c r="H22" s="330">
        <v>4356</v>
      </c>
      <c r="I22" s="331">
        <v>13585</v>
      </c>
      <c r="J22" s="333">
        <v>1361</v>
      </c>
      <c r="K22" s="334">
        <v>153</v>
      </c>
      <c r="L22" s="332">
        <v>1635</v>
      </c>
      <c r="M22" s="333">
        <v>772</v>
      </c>
      <c r="N22" s="334">
        <v>925</v>
      </c>
      <c r="O22" s="333">
        <v>436</v>
      </c>
      <c r="P22" s="334">
        <v>1109</v>
      </c>
      <c r="Q22" s="332">
        <v>11789</v>
      </c>
      <c r="R22" s="333">
        <v>5564</v>
      </c>
      <c r="S22" s="334">
        <v>18462</v>
      </c>
    </row>
    <row r="23" spans="1:19" ht="14.25">
      <c r="A23" s="278" t="s">
        <v>354</v>
      </c>
      <c r="B23" s="329">
        <v>9726</v>
      </c>
      <c r="C23" s="329">
        <v>8836</v>
      </c>
      <c r="D23" s="330">
        <v>0</v>
      </c>
      <c r="E23" s="331">
        <v>8836</v>
      </c>
      <c r="F23" s="332">
        <v>890</v>
      </c>
      <c r="G23" s="329">
        <v>1128</v>
      </c>
      <c r="H23" s="330">
        <v>6713</v>
      </c>
      <c r="I23" s="331">
        <v>7841</v>
      </c>
      <c r="J23" s="333">
        <v>995</v>
      </c>
      <c r="K23" s="334">
        <v>0</v>
      </c>
      <c r="L23" s="332">
        <v>128</v>
      </c>
      <c r="M23" s="333">
        <v>762</v>
      </c>
      <c r="N23" s="334">
        <v>143</v>
      </c>
      <c r="O23" s="333">
        <v>852</v>
      </c>
      <c r="P23" s="334">
        <v>0</v>
      </c>
      <c r="Q23" s="332">
        <v>1399</v>
      </c>
      <c r="R23" s="333">
        <v>8327</v>
      </c>
      <c r="S23" s="334">
        <v>9726</v>
      </c>
    </row>
    <row r="24" spans="1:19" ht="14.25">
      <c r="A24" s="278" t="s">
        <v>355</v>
      </c>
      <c r="B24" s="329">
        <v>0</v>
      </c>
      <c r="C24" s="329">
        <v>0</v>
      </c>
      <c r="D24" s="330">
        <v>0</v>
      </c>
      <c r="E24" s="331">
        <v>0</v>
      </c>
      <c r="F24" s="332">
        <v>0</v>
      </c>
      <c r="G24" s="329">
        <v>0</v>
      </c>
      <c r="H24" s="330">
        <v>0</v>
      </c>
      <c r="I24" s="331">
        <v>0</v>
      </c>
      <c r="J24" s="333">
        <v>0</v>
      </c>
      <c r="K24" s="334">
        <v>0</v>
      </c>
      <c r="L24" s="332">
        <v>0</v>
      </c>
      <c r="M24" s="333">
        <v>0</v>
      </c>
      <c r="N24" s="334">
        <v>0</v>
      </c>
      <c r="O24" s="333">
        <v>0</v>
      </c>
      <c r="P24" s="334">
        <v>0</v>
      </c>
      <c r="Q24" s="332">
        <v>0</v>
      </c>
      <c r="R24" s="333">
        <v>0</v>
      </c>
      <c r="S24" s="334">
        <v>0</v>
      </c>
    </row>
    <row r="25" spans="1:19" ht="14.25">
      <c r="A25" s="278" t="s">
        <v>356</v>
      </c>
      <c r="B25" s="329">
        <v>0</v>
      </c>
      <c r="C25" s="329">
        <v>0</v>
      </c>
      <c r="D25" s="330">
        <v>0</v>
      </c>
      <c r="E25" s="331">
        <v>0</v>
      </c>
      <c r="F25" s="332">
        <v>0</v>
      </c>
      <c r="G25" s="329">
        <v>0</v>
      </c>
      <c r="H25" s="330">
        <v>0</v>
      </c>
      <c r="I25" s="331">
        <v>0</v>
      </c>
      <c r="J25" s="333">
        <v>0</v>
      </c>
      <c r="K25" s="334">
        <v>0</v>
      </c>
      <c r="L25" s="332">
        <v>0</v>
      </c>
      <c r="M25" s="333">
        <v>0</v>
      </c>
      <c r="N25" s="334">
        <v>0</v>
      </c>
      <c r="O25" s="333">
        <v>0</v>
      </c>
      <c r="P25" s="334">
        <v>0</v>
      </c>
      <c r="Q25" s="332">
        <v>0</v>
      </c>
      <c r="R25" s="333">
        <v>0</v>
      </c>
      <c r="S25" s="334">
        <v>0</v>
      </c>
    </row>
    <row r="26" spans="1:19" ht="14.25">
      <c r="A26" s="282" t="s">
        <v>357</v>
      </c>
      <c r="B26" s="327">
        <v>0</v>
      </c>
      <c r="C26" s="327">
        <v>0</v>
      </c>
      <c r="D26" s="269">
        <v>0</v>
      </c>
      <c r="E26" s="328">
        <v>0</v>
      </c>
      <c r="F26" s="262">
        <v>0</v>
      </c>
      <c r="G26" s="327">
        <v>0</v>
      </c>
      <c r="H26" s="269">
        <v>0</v>
      </c>
      <c r="I26" s="328">
        <v>0</v>
      </c>
      <c r="J26" s="264">
        <v>0</v>
      </c>
      <c r="K26" s="263">
        <v>0</v>
      </c>
      <c r="L26" s="262">
        <v>0</v>
      </c>
      <c r="M26" s="264">
        <v>0</v>
      </c>
      <c r="N26" s="263">
        <v>0</v>
      </c>
      <c r="O26" s="264">
        <v>0</v>
      </c>
      <c r="P26" s="263">
        <v>0</v>
      </c>
      <c r="Q26" s="262">
        <v>0</v>
      </c>
      <c r="R26" s="264">
        <v>0</v>
      </c>
      <c r="S26" s="263">
        <v>0</v>
      </c>
    </row>
    <row r="27" spans="1:19" ht="15" thickBot="1">
      <c r="A27" s="335"/>
      <c r="B27" s="336"/>
      <c r="C27" s="336"/>
      <c r="D27" s="337"/>
      <c r="E27" s="338"/>
      <c r="F27" s="339"/>
      <c r="G27" s="336"/>
      <c r="H27" s="337"/>
      <c r="I27" s="338"/>
      <c r="J27" s="340"/>
      <c r="K27" s="341"/>
      <c r="L27" s="339"/>
      <c r="M27" s="340"/>
      <c r="N27" s="341"/>
      <c r="O27" s="340"/>
      <c r="P27" s="341"/>
      <c r="Q27" s="339"/>
      <c r="R27" s="340"/>
      <c r="S27" s="341"/>
    </row>
    <row r="28" spans="1:19" ht="15.75" thickBot="1" thickTop="1">
      <c r="A28" s="324" t="s">
        <v>4</v>
      </c>
      <c r="B28" s="325">
        <v>61217</v>
      </c>
      <c r="C28" s="325">
        <v>50752</v>
      </c>
      <c r="D28" s="268">
        <v>1682</v>
      </c>
      <c r="E28" s="326">
        <v>52434</v>
      </c>
      <c r="F28" s="259">
        <v>8783</v>
      </c>
      <c r="G28" s="325">
        <v>18743</v>
      </c>
      <c r="H28" s="268">
        <v>26117</v>
      </c>
      <c r="I28" s="326">
        <v>44860</v>
      </c>
      <c r="J28" s="261">
        <v>5892</v>
      </c>
      <c r="K28" s="265">
        <v>300</v>
      </c>
      <c r="L28" s="266">
        <v>4064</v>
      </c>
      <c r="M28" s="267">
        <v>4419</v>
      </c>
      <c r="N28" s="265">
        <v>2649</v>
      </c>
      <c r="O28" s="267">
        <v>3243</v>
      </c>
      <c r="P28" s="265">
        <v>1982</v>
      </c>
      <c r="Q28" s="266">
        <v>25456</v>
      </c>
      <c r="R28" s="267">
        <v>33779</v>
      </c>
      <c r="S28" s="260">
        <v>61217</v>
      </c>
    </row>
    <row r="31" spans="1:4" ht="14.25">
      <c r="A31" s="207" t="s">
        <v>552</v>
      </c>
      <c r="B31" s="207" t="s">
        <v>580</v>
      </c>
      <c r="D31" s="207" t="s">
        <v>553</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L1" sqref="L1"/>
    </sheetView>
  </sheetViews>
  <sheetFormatPr defaultColWidth="9.140625" defaultRowHeight="12.75"/>
  <cols>
    <col min="4" max="4" width="11.421875" style="0" customWidth="1"/>
    <col min="7" max="7" width="11.8515625" style="0" customWidth="1"/>
    <col min="8" max="8" width="10.28125" style="0" customWidth="1"/>
  </cols>
  <sheetData>
    <row r="1" spans="1:12" ht="12.75">
      <c r="A1" s="379" t="s">
        <v>358</v>
      </c>
      <c r="B1" s="379"/>
      <c r="C1" s="379"/>
      <c r="D1" s="379"/>
      <c r="E1" s="379"/>
      <c r="F1" s="379"/>
      <c r="G1" s="379"/>
      <c r="H1" s="379"/>
      <c r="I1" s="379"/>
      <c r="J1" s="379"/>
      <c r="K1" s="379"/>
      <c r="L1" s="352" t="s">
        <v>586</v>
      </c>
    </row>
    <row r="2" spans="1:12" ht="12.75">
      <c r="A2" s="380" t="s">
        <v>359</v>
      </c>
      <c r="B2" s="380"/>
      <c r="C2" s="380"/>
      <c r="D2" s="380"/>
      <c r="E2" s="380"/>
      <c r="F2" s="380"/>
      <c r="G2" s="380"/>
      <c r="H2" s="380"/>
      <c r="I2" s="380"/>
      <c r="J2" s="380"/>
      <c r="K2" s="380"/>
      <c r="L2" s="223"/>
    </row>
    <row r="3" spans="1:12" ht="12.75">
      <c r="A3" s="89"/>
      <c r="B3" s="381" t="s">
        <v>360</v>
      </c>
      <c r="C3" s="381"/>
      <c r="D3" s="381"/>
      <c r="E3" s="381"/>
      <c r="F3" s="381"/>
      <c r="G3" s="223"/>
      <c r="H3" s="223"/>
      <c r="I3" s="223"/>
      <c r="J3" s="223"/>
      <c r="K3" s="223"/>
      <c r="L3" s="223"/>
    </row>
    <row r="4" spans="1:12" ht="12.75">
      <c r="A4" s="89"/>
      <c r="B4" s="224"/>
      <c r="C4" s="223" t="s">
        <v>361</v>
      </c>
      <c r="D4" s="224"/>
      <c r="E4" s="224"/>
      <c r="F4" s="224"/>
      <c r="G4" s="225"/>
      <c r="H4" s="381" t="s">
        <v>363</v>
      </c>
      <c r="I4" s="381"/>
      <c r="J4" s="223"/>
      <c r="K4" s="381" t="s">
        <v>364</v>
      </c>
      <c r="L4" s="381"/>
    </row>
    <row r="5" spans="1:11" ht="12.75">
      <c r="A5" s="89"/>
      <c r="B5" s="222" t="s">
        <v>365</v>
      </c>
      <c r="C5" s="222" t="s">
        <v>365</v>
      </c>
      <c r="D5" s="222" t="s">
        <v>365</v>
      </c>
      <c r="E5" s="222" t="s">
        <v>366</v>
      </c>
      <c r="F5" s="222" t="s">
        <v>365</v>
      </c>
      <c r="G5" s="222" t="s">
        <v>367</v>
      </c>
      <c r="H5" s="222" t="s">
        <v>368</v>
      </c>
      <c r="I5" s="223"/>
      <c r="J5" s="222" t="s">
        <v>367</v>
      </c>
      <c r="K5" s="222" t="s">
        <v>368</v>
      </c>
    </row>
    <row r="6" spans="1:11" ht="12.75">
      <c r="A6" s="90"/>
      <c r="B6" s="222"/>
      <c r="C6" s="222"/>
      <c r="D6" s="222"/>
      <c r="E6" s="222"/>
      <c r="F6" s="222"/>
      <c r="G6" s="222" t="s">
        <v>369</v>
      </c>
      <c r="H6" s="222" t="s">
        <v>370</v>
      </c>
      <c r="I6" s="223"/>
      <c r="J6" s="222" t="s">
        <v>369</v>
      </c>
      <c r="K6" s="222" t="s">
        <v>370</v>
      </c>
    </row>
    <row r="7" spans="1:11" ht="12.75">
      <c r="A7" s="89" t="s">
        <v>340</v>
      </c>
      <c r="B7" s="222" t="s">
        <v>371</v>
      </c>
      <c r="C7" s="222" t="s">
        <v>372</v>
      </c>
      <c r="D7" s="222" t="s">
        <v>373</v>
      </c>
      <c r="E7" s="222" t="s">
        <v>374</v>
      </c>
      <c r="F7" s="222" t="s">
        <v>375</v>
      </c>
      <c r="G7" s="222" t="s">
        <v>365</v>
      </c>
      <c r="H7" s="222" t="s">
        <v>365</v>
      </c>
      <c r="I7" s="223"/>
      <c r="J7" s="222" t="s">
        <v>365</v>
      </c>
      <c r="K7" s="222" t="s">
        <v>365</v>
      </c>
    </row>
    <row r="8" spans="1:11" ht="12.75">
      <c r="A8" s="91" t="s">
        <v>376</v>
      </c>
      <c r="B8" s="226">
        <v>833</v>
      </c>
      <c r="C8" s="226">
        <v>0</v>
      </c>
      <c r="D8" s="226">
        <v>468</v>
      </c>
      <c r="E8" s="227">
        <v>0.8</v>
      </c>
      <c r="F8" s="226">
        <v>113706</v>
      </c>
      <c r="G8" s="228">
        <v>0</v>
      </c>
      <c r="H8" s="228">
        <v>0</v>
      </c>
      <c r="I8" s="224"/>
      <c r="J8" s="228">
        <v>0</v>
      </c>
      <c r="K8" s="228">
        <v>0</v>
      </c>
    </row>
    <row r="9" spans="1:11" ht="12.75">
      <c r="A9" s="89" t="s">
        <v>377</v>
      </c>
      <c r="B9" s="226">
        <v>819</v>
      </c>
      <c r="C9" s="226">
        <v>0</v>
      </c>
      <c r="D9" s="226">
        <v>460</v>
      </c>
      <c r="E9" s="227">
        <v>0.68</v>
      </c>
      <c r="F9" s="226">
        <v>114066</v>
      </c>
      <c r="G9" s="228">
        <v>0</v>
      </c>
      <c r="H9" s="228">
        <v>0</v>
      </c>
      <c r="I9" s="223"/>
      <c r="J9" s="228">
        <v>0</v>
      </c>
      <c r="K9" s="228">
        <v>0</v>
      </c>
    </row>
    <row r="10" spans="1:11" ht="12.75">
      <c r="A10" s="89" t="s">
        <v>378</v>
      </c>
      <c r="B10" s="226">
        <v>2489</v>
      </c>
      <c r="C10" s="226">
        <v>0</v>
      </c>
      <c r="D10" s="226">
        <v>755</v>
      </c>
      <c r="E10" s="227">
        <v>1.99</v>
      </c>
      <c r="F10" s="226">
        <v>115795</v>
      </c>
      <c r="G10" s="228">
        <v>0</v>
      </c>
      <c r="H10" s="228">
        <v>0</v>
      </c>
      <c r="I10" s="223"/>
      <c r="J10" s="228">
        <v>0</v>
      </c>
      <c r="K10" s="228">
        <v>0</v>
      </c>
    </row>
    <row r="11" spans="1:11" ht="12.75">
      <c r="A11" s="89" t="s">
        <v>379</v>
      </c>
      <c r="B11" s="226">
        <v>2638</v>
      </c>
      <c r="C11" s="226">
        <v>0</v>
      </c>
      <c r="D11" s="226">
        <v>1989</v>
      </c>
      <c r="E11" s="227">
        <v>2.02</v>
      </c>
      <c r="F11" s="226">
        <v>116443</v>
      </c>
      <c r="G11" s="228">
        <v>0</v>
      </c>
      <c r="H11" s="228">
        <v>0</v>
      </c>
      <c r="I11" s="223"/>
      <c r="J11" s="228">
        <v>0</v>
      </c>
      <c r="K11" s="228">
        <v>0</v>
      </c>
    </row>
    <row r="12" spans="1:11" ht="12.75">
      <c r="A12" s="89" t="s">
        <v>380</v>
      </c>
      <c r="B12" s="226">
        <v>2638</v>
      </c>
      <c r="C12" s="226">
        <v>0</v>
      </c>
      <c r="D12" s="226">
        <v>2563</v>
      </c>
      <c r="E12" s="227">
        <v>2.86</v>
      </c>
      <c r="F12" s="226">
        <v>116731</v>
      </c>
      <c r="G12" s="228">
        <v>0</v>
      </c>
      <c r="H12" s="228">
        <v>0</v>
      </c>
      <c r="I12" s="223"/>
      <c r="J12" s="228">
        <v>0</v>
      </c>
      <c r="K12" s="228">
        <v>0</v>
      </c>
    </row>
    <row r="13" spans="1:11" ht="12.75">
      <c r="A13" s="89" t="s">
        <v>381</v>
      </c>
      <c r="B13" s="226">
        <v>1650</v>
      </c>
      <c r="C13" s="226">
        <v>0</v>
      </c>
      <c r="D13" s="226">
        <v>4243</v>
      </c>
      <c r="E13" s="227">
        <v>2.3</v>
      </c>
      <c r="F13" s="226">
        <v>114139</v>
      </c>
      <c r="G13" s="228">
        <v>0</v>
      </c>
      <c r="H13" s="228">
        <v>0</v>
      </c>
      <c r="I13" s="223"/>
      <c r="J13" s="228">
        <v>0</v>
      </c>
      <c r="K13" s="228">
        <v>0</v>
      </c>
    </row>
    <row r="14" spans="1:11" ht="12.75">
      <c r="A14" s="89" t="s">
        <v>382</v>
      </c>
      <c r="B14" s="226">
        <v>4354</v>
      </c>
      <c r="C14" s="226">
        <v>0</v>
      </c>
      <c r="D14" s="226">
        <v>2780</v>
      </c>
      <c r="E14" s="227">
        <v>4.09</v>
      </c>
      <c r="F14" s="226">
        <v>114715</v>
      </c>
      <c r="G14" s="228">
        <v>0</v>
      </c>
      <c r="H14" s="228">
        <v>0</v>
      </c>
      <c r="I14" s="223"/>
      <c r="J14" s="228">
        <v>0</v>
      </c>
      <c r="K14" s="228">
        <v>0</v>
      </c>
    </row>
    <row r="15" spans="1:11" ht="12.75">
      <c r="A15" s="89" t="s">
        <v>383</v>
      </c>
      <c r="B15" s="226">
        <v>2009</v>
      </c>
      <c r="C15" s="226">
        <v>0</v>
      </c>
      <c r="D15" s="226">
        <v>5177</v>
      </c>
      <c r="E15" s="227">
        <v>1.41</v>
      </c>
      <c r="F15" s="226">
        <v>111546</v>
      </c>
      <c r="G15" s="228">
        <v>0</v>
      </c>
      <c r="H15" s="228">
        <v>0</v>
      </c>
      <c r="I15" s="223"/>
      <c r="J15" s="228">
        <v>0</v>
      </c>
      <c r="K15" s="228">
        <v>0</v>
      </c>
    </row>
    <row r="16" spans="1:11" ht="12.75">
      <c r="A16" s="89" t="s">
        <v>384</v>
      </c>
      <c r="B16" s="226">
        <v>3917</v>
      </c>
      <c r="C16" s="226">
        <v>0</v>
      </c>
      <c r="D16" s="226">
        <v>6558</v>
      </c>
      <c r="E16" s="227">
        <v>2.63</v>
      </c>
      <c r="F16" s="226">
        <v>108905</v>
      </c>
      <c r="G16" s="228">
        <v>0</v>
      </c>
      <c r="H16" s="228">
        <v>0</v>
      </c>
      <c r="I16" s="223"/>
      <c r="J16" s="228">
        <v>0</v>
      </c>
      <c r="K16" s="228">
        <v>0</v>
      </c>
    </row>
    <row r="17" spans="1:11" ht="12.75">
      <c r="A17" s="89" t="s">
        <v>385</v>
      </c>
      <c r="B17" s="226">
        <v>1993</v>
      </c>
      <c r="C17" s="226">
        <v>0</v>
      </c>
      <c r="D17" s="226">
        <v>2818</v>
      </c>
      <c r="E17" s="227">
        <v>2.3</v>
      </c>
      <c r="F17" s="226">
        <v>108081</v>
      </c>
      <c r="G17" s="228">
        <v>0</v>
      </c>
      <c r="H17" s="228">
        <v>0</v>
      </c>
      <c r="I17" s="223"/>
      <c r="J17" s="228">
        <v>0</v>
      </c>
      <c r="K17" s="228">
        <v>0</v>
      </c>
    </row>
    <row r="18" spans="1:11" ht="12.75">
      <c r="A18" s="89" t="s">
        <v>386</v>
      </c>
      <c r="B18" s="226">
        <v>1567</v>
      </c>
      <c r="C18" s="226">
        <v>0</v>
      </c>
      <c r="D18" s="226">
        <v>1773</v>
      </c>
      <c r="E18" s="227">
        <v>1.75</v>
      </c>
      <c r="F18" s="226">
        <v>107874</v>
      </c>
      <c r="G18" s="228">
        <v>0</v>
      </c>
      <c r="H18" s="228">
        <v>0</v>
      </c>
      <c r="I18" s="223"/>
      <c r="J18" s="228">
        <v>0</v>
      </c>
      <c r="K18" s="228">
        <v>0</v>
      </c>
    </row>
    <row r="19" spans="1:11" ht="13.5" thickBot="1">
      <c r="A19" s="89" t="s">
        <v>387</v>
      </c>
      <c r="B19" s="226">
        <v>192</v>
      </c>
      <c r="C19" s="226">
        <v>0</v>
      </c>
      <c r="D19" s="226">
        <v>1017</v>
      </c>
      <c r="E19" s="227">
        <v>0</v>
      </c>
      <c r="F19" s="226">
        <v>107050</v>
      </c>
      <c r="G19" s="228">
        <v>0</v>
      </c>
      <c r="H19" s="228">
        <v>0</v>
      </c>
      <c r="I19" s="223"/>
      <c r="J19" s="228">
        <v>0</v>
      </c>
      <c r="K19" s="228">
        <v>0</v>
      </c>
    </row>
    <row r="20" spans="1:11" ht="13.5" thickTop="1">
      <c r="A20" s="92" t="s">
        <v>307</v>
      </c>
      <c r="B20" s="226">
        <f>SUM(B8:B19)</f>
        <v>25099</v>
      </c>
      <c r="C20" s="226">
        <f>SUM(C8:C19)</f>
        <v>0</v>
      </c>
      <c r="D20" s="226">
        <f>SUM(D8:D19)</f>
        <v>30601</v>
      </c>
      <c r="E20" s="227">
        <f>SUM(E8:E19)</f>
        <v>22.83</v>
      </c>
      <c r="F20" s="229" t="s">
        <v>388</v>
      </c>
      <c r="G20" s="230">
        <f>SUM(G8:G19)</f>
        <v>0</v>
      </c>
      <c r="H20" s="230">
        <f>SUM(H8:H19)</f>
        <v>0</v>
      </c>
      <c r="I20" s="230"/>
      <c r="J20" s="230">
        <f>SUM(J8:J19)</f>
        <v>0</v>
      </c>
      <c r="K20" s="226">
        <f>SUM(K8:K19)</f>
        <v>0</v>
      </c>
    </row>
    <row r="21" spans="1:12" ht="12.75">
      <c r="A21" s="93" t="s">
        <v>534</v>
      </c>
      <c r="B21" s="223"/>
      <c r="C21" s="223"/>
      <c r="D21" s="223"/>
      <c r="E21" s="228"/>
      <c r="G21" s="223"/>
      <c r="H21" s="94"/>
      <c r="I21" s="223"/>
      <c r="J21" s="90"/>
      <c r="K21" s="90"/>
      <c r="L21" s="223"/>
    </row>
    <row r="22" spans="1:12" ht="12.75">
      <c r="A22" s="90"/>
      <c r="B22" s="224"/>
      <c r="C22" s="224"/>
      <c r="D22" s="224"/>
      <c r="E22" s="224"/>
      <c r="F22" s="224"/>
      <c r="G22" s="224"/>
      <c r="H22" s="224"/>
      <c r="I22" s="224"/>
      <c r="J22" s="224"/>
      <c r="K22" s="224"/>
      <c r="L22" s="224"/>
    </row>
    <row r="23" spans="1:12" ht="12.75">
      <c r="A23" s="379" t="s">
        <v>389</v>
      </c>
      <c r="B23" s="379"/>
      <c r="C23" s="379"/>
      <c r="D23" s="379"/>
      <c r="E23" s="379"/>
      <c r="F23" s="379"/>
      <c r="G23" s="379"/>
      <c r="H23" s="379"/>
      <c r="I23" s="379"/>
      <c r="J23" s="379"/>
      <c r="K23" s="379"/>
      <c r="L23" s="223"/>
    </row>
    <row r="24" spans="1:12" ht="12.75">
      <c r="A24" s="380" t="s">
        <v>390</v>
      </c>
      <c r="B24" s="380"/>
      <c r="C24" s="380"/>
      <c r="D24" s="380"/>
      <c r="E24" s="380"/>
      <c r="F24" s="380"/>
      <c r="G24" s="380"/>
      <c r="H24" s="380"/>
      <c r="I24" s="380"/>
      <c r="J24" s="380"/>
      <c r="K24" s="380"/>
      <c r="L24" s="223"/>
    </row>
    <row r="25" spans="1:12" ht="12.75">
      <c r="A25" s="89"/>
      <c r="B25" s="223"/>
      <c r="C25" s="223"/>
      <c r="D25" s="223"/>
      <c r="E25" s="223"/>
      <c r="F25" s="223"/>
      <c r="G25" s="381" t="s">
        <v>391</v>
      </c>
      <c r="H25" s="381"/>
      <c r="I25" s="381"/>
      <c r="J25" s="381"/>
      <c r="K25" s="381"/>
      <c r="L25" s="223"/>
    </row>
    <row r="26" spans="1:12" ht="12.75">
      <c r="A26" s="223"/>
      <c r="B26" s="382" t="s">
        <v>392</v>
      </c>
      <c r="C26" s="383"/>
      <c r="D26" s="383"/>
      <c r="E26" s="383"/>
      <c r="F26" s="223"/>
      <c r="G26" s="384" t="s">
        <v>393</v>
      </c>
      <c r="H26" s="384"/>
      <c r="I26" s="224"/>
      <c r="J26" s="384" t="s">
        <v>394</v>
      </c>
      <c r="K26" s="384"/>
      <c r="L26" s="223"/>
    </row>
    <row r="27" spans="1:12" ht="12.75">
      <c r="A27" s="89"/>
      <c r="B27" s="222" t="s">
        <v>395</v>
      </c>
      <c r="C27" s="222" t="s">
        <v>368</v>
      </c>
      <c r="D27" s="222" t="s">
        <v>395</v>
      </c>
      <c r="E27" s="222" t="s">
        <v>368</v>
      </c>
      <c r="F27" s="222" t="s">
        <v>4</v>
      </c>
      <c r="G27" s="222"/>
      <c r="H27" s="222" t="s">
        <v>368</v>
      </c>
      <c r="I27" s="222"/>
      <c r="J27" s="222" t="s">
        <v>396</v>
      </c>
      <c r="K27" s="222" t="s">
        <v>368</v>
      </c>
      <c r="L27" s="226"/>
    </row>
    <row r="28" spans="1:12" ht="12.75">
      <c r="A28" s="94"/>
      <c r="B28" s="229" t="s">
        <v>369</v>
      </c>
      <c r="C28" s="229" t="s">
        <v>370</v>
      </c>
      <c r="D28" s="229" t="s">
        <v>369</v>
      </c>
      <c r="E28" s="222" t="s">
        <v>370</v>
      </c>
      <c r="F28" s="222" t="s">
        <v>396</v>
      </c>
      <c r="G28" s="222" t="s">
        <v>397</v>
      </c>
      <c r="H28" s="222" t="s">
        <v>370</v>
      </c>
      <c r="I28" s="222"/>
      <c r="J28" s="222" t="s">
        <v>369</v>
      </c>
      <c r="K28" s="222" t="s">
        <v>370</v>
      </c>
      <c r="L28" s="226"/>
    </row>
    <row r="29" spans="1:12" ht="12.75">
      <c r="A29" s="89" t="s">
        <v>340</v>
      </c>
      <c r="B29" s="222" t="s">
        <v>365</v>
      </c>
      <c r="C29" s="222" t="s">
        <v>365</v>
      </c>
      <c r="D29" s="222" t="s">
        <v>365</v>
      </c>
      <c r="E29" s="222" t="s">
        <v>365</v>
      </c>
      <c r="F29" s="222" t="s">
        <v>365</v>
      </c>
      <c r="G29" s="222" t="s">
        <v>365</v>
      </c>
      <c r="H29" s="222" t="s">
        <v>365</v>
      </c>
      <c r="I29" s="222"/>
      <c r="J29" s="222" t="s">
        <v>365</v>
      </c>
      <c r="K29" s="222" t="s">
        <v>365</v>
      </c>
      <c r="L29" s="226"/>
    </row>
    <row r="30" spans="1:12" ht="12.75">
      <c r="A30" s="91" t="s">
        <v>376</v>
      </c>
      <c r="B30" s="228">
        <v>0</v>
      </c>
      <c r="C30" s="228">
        <v>0</v>
      </c>
      <c r="D30" s="228">
        <v>0</v>
      </c>
      <c r="E30" s="228">
        <v>0</v>
      </c>
      <c r="F30" s="228">
        <v>4530</v>
      </c>
      <c r="G30" s="228">
        <v>0</v>
      </c>
      <c r="H30" s="228">
        <v>0</v>
      </c>
      <c r="I30" s="228"/>
      <c r="J30" s="228">
        <v>0</v>
      </c>
      <c r="K30" s="228">
        <v>0</v>
      </c>
      <c r="L30" s="226"/>
    </row>
    <row r="31" spans="1:12" ht="12.75">
      <c r="A31" s="89" t="s">
        <v>377</v>
      </c>
      <c r="B31" s="228">
        <v>0</v>
      </c>
      <c r="C31" s="228">
        <v>0</v>
      </c>
      <c r="D31" s="228">
        <v>0</v>
      </c>
      <c r="E31" s="228">
        <v>0</v>
      </c>
      <c r="F31" s="228">
        <v>2350</v>
      </c>
      <c r="G31" s="228">
        <v>0</v>
      </c>
      <c r="H31" s="228">
        <v>0</v>
      </c>
      <c r="I31" s="228"/>
      <c r="J31" s="228">
        <v>0</v>
      </c>
      <c r="K31" s="228">
        <v>0</v>
      </c>
      <c r="L31" s="226"/>
    </row>
    <row r="32" spans="1:12" ht="12.75">
      <c r="A32" s="89" t="s">
        <v>378</v>
      </c>
      <c r="B32" s="228">
        <v>0</v>
      </c>
      <c r="C32" s="228">
        <v>0</v>
      </c>
      <c r="D32" s="228">
        <v>0</v>
      </c>
      <c r="E32" s="228">
        <v>0</v>
      </c>
      <c r="F32" s="228">
        <v>1950</v>
      </c>
      <c r="G32" s="228">
        <v>0</v>
      </c>
      <c r="H32" s="228">
        <v>0</v>
      </c>
      <c r="I32" s="228"/>
      <c r="J32" s="228">
        <v>0</v>
      </c>
      <c r="K32" s="228">
        <v>0</v>
      </c>
      <c r="L32" s="226"/>
    </row>
    <row r="33" spans="1:12" ht="12.75">
      <c r="A33" s="89" t="s">
        <v>379</v>
      </c>
      <c r="B33" s="228">
        <v>0</v>
      </c>
      <c r="C33" s="228">
        <v>0</v>
      </c>
      <c r="D33" s="228">
        <v>0</v>
      </c>
      <c r="E33" s="228">
        <v>0</v>
      </c>
      <c r="F33" s="226">
        <v>5439</v>
      </c>
      <c r="G33" s="228">
        <v>0</v>
      </c>
      <c r="H33" s="228">
        <v>0</v>
      </c>
      <c r="I33" s="228"/>
      <c r="J33" s="228">
        <v>0</v>
      </c>
      <c r="K33" s="228">
        <v>0</v>
      </c>
      <c r="L33" s="223"/>
    </row>
    <row r="34" spans="1:12" ht="12.75">
      <c r="A34" s="89" t="s">
        <v>380</v>
      </c>
      <c r="B34" s="228">
        <v>0</v>
      </c>
      <c r="C34" s="228">
        <v>0</v>
      </c>
      <c r="D34" s="228">
        <v>554</v>
      </c>
      <c r="E34" s="228">
        <v>0</v>
      </c>
      <c r="F34" s="226">
        <v>3910</v>
      </c>
      <c r="G34" s="228">
        <v>0</v>
      </c>
      <c r="H34" s="228">
        <v>0</v>
      </c>
      <c r="I34" s="228"/>
      <c r="J34" s="228">
        <v>0</v>
      </c>
      <c r="K34" s="228">
        <v>0</v>
      </c>
      <c r="L34" s="223"/>
    </row>
    <row r="35" spans="1:12" ht="12.75">
      <c r="A35" s="89" t="s">
        <v>381</v>
      </c>
      <c r="B35" s="228">
        <v>0</v>
      </c>
      <c r="C35" s="228">
        <v>0</v>
      </c>
      <c r="D35" s="228">
        <v>1961</v>
      </c>
      <c r="E35" s="228">
        <v>241</v>
      </c>
      <c r="F35" s="226">
        <v>1302</v>
      </c>
      <c r="G35" s="228">
        <v>0</v>
      </c>
      <c r="H35" s="228">
        <v>0</v>
      </c>
      <c r="I35" s="228"/>
      <c r="J35" s="228">
        <v>0</v>
      </c>
      <c r="K35" s="228">
        <v>0</v>
      </c>
      <c r="L35" s="223"/>
    </row>
    <row r="36" spans="1:12" ht="12.75">
      <c r="A36" s="89" t="s">
        <v>382</v>
      </c>
      <c r="B36" s="228">
        <v>0</v>
      </c>
      <c r="C36" s="228">
        <v>0</v>
      </c>
      <c r="D36" s="228">
        <v>2077</v>
      </c>
      <c r="E36" s="228">
        <v>711</v>
      </c>
      <c r="F36" s="226">
        <v>1779</v>
      </c>
      <c r="G36" s="228">
        <v>0</v>
      </c>
      <c r="H36" s="228">
        <v>0</v>
      </c>
      <c r="I36" s="228"/>
      <c r="J36" s="228">
        <v>280</v>
      </c>
      <c r="K36" s="228">
        <v>43</v>
      </c>
      <c r="L36" s="223"/>
    </row>
    <row r="37" spans="1:12" ht="12.75">
      <c r="A37" s="89" t="s">
        <v>383</v>
      </c>
      <c r="B37" s="228">
        <v>0</v>
      </c>
      <c r="C37" s="228">
        <v>0</v>
      </c>
      <c r="D37" s="228">
        <v>1015</v>
      </c>
      <c r="E37" s="228">
        <v>456</v>
      </c>
      <c r="F37" s="226">
        <v>186</v>
      </c>
      <c r="G37" s="228">
        <v>0</v>
      </c>
      <c r="H37" s="228">
        <v>0</v>
      </c>
      <c r="I37" s="228"/>
      <c r="J37" s="228">
        <v>186</v>
      </c>
      <c r="K37" s="228">
        <v>11</v>
      </c>
      <c r="L37" s="223"/>
    </row>
    <row r="38" spans="1:12" ht="12.75">
      <c r="A38" s="89" t="s">
        <v>384</v>
      </c>
      <c r="B38" s="228">
        <v>0</v>
      </c>
      <c r="C38" s="228">
        <v>0</v>
      </c>
      <c r="D38" s="228">
        <v>193</v>
      </c>
      <c r="E38" s="228">
        <v>49</v>
      </c>
      <c r="F38" s="226">
        <v>525</v>
      </c>
      <c r="G38" s="228">
        <v>0</v>
      </c>
      <c r="H38" s="228">
        <v>0</v>
      </c>
      <c r="I38" s="228"/>
      <c r="J38" s="228">
        <v>0</v>
      </c>
      <c r="K38" s="228">
        <v>0</v>
      </c>
      <c r="L38" s="226"/>
    </row>
    <row r="39" spans="1:12" ht="12.75">
      <c r="A39" s="89" t="s">
        <v>385</v>
      </c>
      <c r="B39" s="228">
        <v>0</v>
      </c>
      <c r="C39" s="228">
        <v>0</v>
      </c>
      <c r="D39" s="228">
        <v>0</v>
      </c>
      <c r="E39" s="228">
        <v>0</v>
      </c>
      <c r="F39" s="228">
        <v>2557</v>
      </c>
      <c r="G39" s="228">
        <v>0</v>
      </c>
      <c r="H39" s="228">
        <v>0</v>
      </c>
      <c r="I39" s="228"/>
      <c r="J39" s="228">
        <v>2536</v>
      </c>
      <c r="K39" s="228">
        <v>0</v>
      </c>
      <c r="L39" s="223"/>
    </row>
    <row r="40" spans="1:12" ht="12.75">
      <c r="A40" s="89" t="s">
        <v>386</v>
      </c>
      <c r="B40" s="228">
        <v>0</v>
      </c>
      <c r="C40" s="228">
        <v>0</v>
      </c>
      <c r="D40" s="228">
        <v>0</v>
      </c>
      <c r="E40" s="228">
        <v>0</v>
      </c>
      <c r="F40" s="228">
        <v>3204</v>
      </c>
      <c r="G40" s="228">
        <v>0</v>
      </c>
      <c r="H40" s="228">
        <v>0</v>
      </c>
      <c r="I40" s="228"/>
      <c r="J40" s="228">
        <v>266</v>
      </c>
      <c r="K40" s="228">
        <v>90</v>
      </c>
      <c r="L40" s="223"/>
    </row>
    <row r="41" spans="1:12" ht="13.5" thickBot="1">
      <c r="A41" s="89" t="s">
        <v>387</v>
      </c>
      <c r="B41" s="228">
        <v>0</v>
      </c>
      <c r="C41" s="228">
        <v>0</v>
      </c>
      <c r="D41" s="228">
        <v>0</v>
      </c>
      <c r="E41" s="228">
        <v>0</v>
      </c>
      <c r="F41" s="228">
        <v>3769</v>
      </c>
      <c r="G41" s="228">
        <v>0</v>
      </c>
      <c r="H41" s="228">
        <v>0</v>
      </c>
      <c r="I41" s="228"/>
      <c r="J41" s="228">
        <v>0</v>
      </c>
      <c r="K41" s="228">
        <v>0</v>
      </c>
      <c r="L41" s="223"/>
    </row>
    <row r="42" spans="1:12" ht="13.5" thickTop="1">
      <c r="A42" s="95" t="s">
        <v>307</v>
      </c>
      <c r="B42" s="230">
        <f aca="true" t="shared" si="0" ref="B42:H42">SUM(B30:B41)</f>
        <v>0</v>
      </c>
      <c r="C42" s="230">
        <f t="shared" si="0"/>
        <v>0</v>
      </c>
      <c r="D42" s="230">
        <f t="shared" si="0"/>
        <v>5800</v>
      </c>
      <c r="E42" s="230">
        <f t="shared" si="0"/>
        <v>1457</v>
      </c>
      <c r="F42" s="96">
        <f t="shared" si="0"/>
        <v>31501</v>
      </c>
      <c r="G42" s="96">
        <f t="shared" si="0"/>
        <v>0</v>
      </c>
      <c r="H42" s="96">
        <f t="shared" si="0"/>
        <v>0</v>
      </c>
      <c r="I42" s="230"/>
      <c r="J42" s="230">
        <f>SUM(J30:J41)</f>
        <v>3268</v>
      </c>
      <c r="K42" s="226">
        <f>SUM(K30:K41)</f>
        <v>144</v>
      </c>
      <c r="L42" s="223"/>
    </row>
    <row r="43" spans="1:12" ht="12.75">
      <c r="A43" s="93" t="s">
        <v>535</v>
      </c>
      <c r="B43" s="223"/>
      <c r="C43" s="223"/>
      <c r="D43" s="231" t="s">
        <v>536</v>
      </c>
      <c r="E43" s="223"/>
      <c r="F43" s="94"/>
      <c r="G43" s="90"/>
      <c r="H43" s="90"/>
      <c r="I43" s="223"/>
      <c r="J43" s="228"/>
      <c r="K43" s="223"/>
      <c r="L43" s="223"/>
    </row>
    <row r="44" spans="1:12" ht="12.75">
      <c r="A44" s="89"/>
      <c r="B44" s="223"/>
      <c r="C44" s="223"/>
      <c r="D44" s="231" t="s">
        <v>537</v>
      </c>
      <c r="E44" s="223"/>
      <c r="F44" s="228"/>
      <c r="G44" s="223"/>
      <c r="H44" s="223"/>
      <c r="I44" s="223"/>
      <c r="J44" s="223"/>
      <c r="K44" s="223"/>
      <c r="L44" s="223"/>
    </row>
    <row r="45" spans="1:12" ht="12.75">
      <c r="A45" s="89"/>
      <c r="B45" s="223"/>
      <c r="C45" s="223"/>
      <c r="D45" s="231" t="s">
        <v>538</v>
      </c>
      <c r="E45" s="223"/>
      <c r="F45" s="228"/>
      <c r="G45" s="223"/>
      <c r="H45" s="223"/>
      <c r="I45" s="223"/>
      <c r="J45" s="223"/>
      <c r="K45" s="223"/>
      <c r="L45" s="223"/>
    </row>
    <row r="46" spans="1:12" ht="12.75">
      <c r="A46" s="89"/>
      <c r="B46" s="223"/>
      <c r="C46" s="223"/>
      <c r="D46" s="231"/>
      <c r="E46" s="223"/>
      <c r="F46" s="228"/>
      <c r="G46" s="223"/>
      <c r="H46" s="223"/>
      <c r="I46" s="223"/>
      <c r="J46" s="223"/>
      <c r="K46" s="223"/>
      <c r="L46" s="223"/>
    </row>
    <row r="47" spans="1:12" ht="12.75">
      <c r="A47" s="379" t="s">
        <v>389</v>
      </c>
      <c r="B47" s="379"/>
      <c r="C47" s="379"/>
      <c r="D47" s="379"/>
      <c r="E47" s="379"/>
      <c r="F47" s="379"/>
      <c r="G47" s="379"/>
      <c r="H47" s="379"/>
      <c r="I47" s="379"/>
      <c r="J47" s="379"/>
      <c r="K47" s="379"/>
      <c r="L47" s="223"/>
    </row>
    <row r="48" spans="1:12" ht="12.75">
      <c r="A48" s="380" t="s">
        <v>398</v>
      </c>
      <c r="B48" s="380"/>
      <c r="C48" s="380"/>
      <c r="D48" s="380"/>
      <c r="E48" s="380"/>
      <c r="F48" s="380"/>
      <c r="G48" s="380"/>
      <c r="H48" s="380"/>
      <c r="I48" s="380"/>
      <c r="J48" s="380"/>
      <c r="K48" s="380"/>
      <c r="L48" s="223"/>
    </row>
    <row r="49" spans="1:12" ht="12.75">
      <c r="A49" s="223"/>
      <c r="B49" s="381" t="s">
        <v>399</v>
      </c>
      <c r="C49" s="381"/>
      <c r="D49" s="381"/>
      <c r="E49" s="381"/>
      <c r="F49" s="381"/>
      <c r="G49" s="223"/>
      <c r="H49" s="223"/>
      <c r="I49" s="223"/>
      <c r="J49" s="223"/>
      <c r="K49" s="223"/>
      <c r="L49" s="223"/>
    </row>
    <row r="50" spans="1:11" ht="12.75">
      <c r="A50" s="223"/>
      <c r="B50" s="222"/>
      <c r="C50" s="222"/>
      <c r="D50" s="222"/>
      <c r="E50" s="222"/>
      <c r="F50" s="222" t="s">
        <v>362</v>
      </c>
      <c r="G50" s="222" t="s">
        <v>400</v>
      </c>
      <c r="H50" s="222" t="s">
        <v>371</v>
      </c>
      <c r="I50" s="222"/>
      <c r="J50" s="381" t="s">
        <v>401</v>
      </c>
      <c r="K50" s="381"/>
    </row>
    <row r="51" spans="1:11" ht="12.75">
      <c r="A51" s="223"/>
      <c r="B51" s="222" t="s">
        <v>4</v>
      </c>
      <c r="C51" s="222"/>
      <c r="D51" s="222" t="s">
        <v>402</v>
      </c>
      <c r="E51" s="222"/>
      <c r="F51" s="222" t="s">
        <v>340</v>
      </c>
      <c r="G51" s="222" t="s">
        <v>403</v>
      </c>
      <c r="H51" s="222" t="s">
        <v>403</v>
      </c>
      <c r="I51" s="222"/>
      <c r="J51" s="222" t="s">
        <v>367</v>
      </c>
      <c r="K51" s="222" t="s">
        <v>368</v>
      </c>
    </row>
    <row r="52" spans="1:11" ht="12.75">
      <c r="A52" s="90"/>
      <c r="B52" s="222" t="s">
        <v>371</v>
      </c>
      <c r="C52" s="222" t="s">
        <v>372</v>
      </c>
      <c r="D52" s="222" t="s">
        <v>404</v>
      </c>
      <c r="E52" s="222" t="s">
        <v>374</v>
      </c>
      <c r="F52" s="222" t="s">
        <v>405</v>
      </c>
      <c r="G52" s="222" t="s">
        <v>406</v>
      </c>
      <c r="H52" s="222" t="s">
        <v>323</v>
      </c>
      <c r="I52" s="222"/>
      <c r="J52" s="222" t="s">
        <v>369</v>
      </c>
      <c r="K52" s="222" t="s">
        <v>370</v>
      </c>
    </row>
    <row r="53" spans="1:11" ht="12.75">
      <c r="A53" s="89" t="s">
        <v>340</v>
      </c>
      <c r="B53" s="222" t="s">
        <v>365</v>
      </c>
      <c r="C53" s="222" t="s">
        <v>365</v>
      </c>
      <c r="D53" s="222" t="s">
        <v>365</v>
      </c>
      <c r="E53" s="222" t="s">
        <v>366</v>
      </c>
      <c r="F53" s="222" t="s">
        <v>365</v>
      </c>
      <c r="G53" s="222" t="s">
        <v>407</v>
      </c>
      <c r="H53" s="222" t="s">
        <v>408</v>
      </c>
      <c r="I53" s="222"/>
      <c r="J53" s="222" t="s">
        <v>365</v>
      </c>
      <c r="K53" s="222" t="s">
        <v>365</v>
      </c>
    </row>
    <row r="54" spans="1:11" ht="12.75">
      <c r="A54" s="91" t="s">
        <v>376</v>
      </c>
      <c r="B54" s="226">
        <v>3049</v>
      </c>
      <c r="C54" s="226">
        <v>12</v>
      </c>
      <c r="D54" s="226">
        <v>150</v>
      </c>
      <c r="E54" s="227">
        <v>0.94</v>
      </c>
      <c r="F54" s="226">
        <v>2887</v>
      </c>
      <c r="G54" s="226">
        <f aca="true" t="shared" si="1" ref="G54:G65">B54-H54</f>
        <v>364</v>
      </c>
      <c r="H54" s="97">
        <v>2685</v>
      </c>
      <c r="I54" s="226"/>
      <c r="J54" s="228">
        <v>0</v>
      </c>
      <c r="K54" s="228">
        <v>0</v>
      </c>
    </row>
    <row r="55" spans="1:11" ht="12.75">
      <c r="A55" s="89" t="s">
        <v>377</v>
      </c>
      <c r="B55" s="226">
        <v>2310</v>
      </c>
      <c r="C55" s="226">
        <v>12</v>
      </c>
      <c r="D55" s="226">
        <v>190</v>
      </c>
      <c r="E55" s="227">
        <v>0.76</v>
      </c>
      <c r="F55" s="226">
        <v>4995</v>
      </c>
      <c r="G55" s="226">
        <f t="shared" si="1"/>
        <v>912</v>
      </c>
      <c r="H55" s="98">
        <v>1398</v>
      </c>
      <c r="I55" s="226"/>
      <c r="J55" s="228">
        <v>0</v>
      </c>
      <c r="K55" s="228">
        <v>0</v>
      </c>
    </row>
    <row r="56" spans="1:11" ht="12.75">
      <c r="A56" s="89" t="s">
        <v>378</v>
      </c>
      <c r="B56" s="226">
        <v>3032</v>
      </c>
      <c r="C56" s="226">
        <v>12</v>
      </c>
      <c r="D56" s="226">
        <v>378</v>
      </c>
      <c r="E56" s="227">
        <v>3.79</v>
      </c>
      <c r="F56" s="226">
        <v>7637</v>
      </c>
      <c r="G56" s="226">
        <f t="shared" si="1"/>
        <v>1904</v>
      </c>
      <c r="H56" s="98">
        <v>1128</v>
      </c>
      <c r="I56" s="226"/>
      <c r="J56" s="228">
        <v>0</v>
      </c>
      <c r="K56" s="228">
        <v>0</v>
      </c>
    </row>
    <row r="57" spans="1:11" ht="12.75">
      <c r="A57" s="89" t="s">
        <v>379</v>
      </c>
      <c r="B57" s="226">
        <v>5057</v>
      </c>
      <c r="C57" s="226">
        <v>18</v>
      </c>
      <c r="D57" s="226">
        <v>974</v>
      </c>
      <c r="E57" s="227">
        <v>1.47</v>
      </c>
      <c r="F57" s="226">
        <v>11702</v>
      </c>
      <c r="G57" s="226">
        <f t="shared" si="1"/>
        <v>1281</v>
      </c>
      <c r="H57" s="98">
        <v>3776</v>
      </c>
      <c r="I57" s="226"/>
      <c r="J57" s="228">
        <v>0</v>
      </c>
      <c r="K57" s="228">
        <v>0</v>
      </c>
    </row>
    <row r="58" spans="1:11" ht="12.75">
      <c r="A58" s="89" t="s">
        <v>380</v>
      </c>
      <c r="B58" s="226">
        <v>3105</v>
      </c>
      <c r="C58" s="226">
        <v>1014</v>
      </c>
      <c r="D58" s="226">
        <v>1285</v>
      </c>
      <c r="E58" s="227">
        <v>4.58</v>
      </c>
      <c r="F58" s="226">
        <v>12508</v>
      </c>
      <c r="G58" s="226">
        <f t="shared" si="1"/>
        <v>955</v>
      </c>
      <c r="H58" s="98">
        <v>2150</v>
      </c>
      <c r="I58" s="223"/>
      <c r="J58" s="226">
        <v>982</v>
      </c>
      <c r="K58" s="228">
        <v>0</v>
      </c>
    </row>
    <row r="59" spans="1:11" ht="12.75">
      <c r="A59" s="89" t="s">
        <v>381</v>
      </c>
      <c r="B59" s="226">
        <v>987</v>
      </c>
      <c r="C59" s="226">
        <v>1349</v>
      </c>
      <c r="D59" s="226">
        <v>1366</v>
      </c>
      <c r="E59" s="227">
        <v>5</v>
      </c>
      <c r="F59" s="226">
        <v>10780</v>
      </c>
      <c r="G59" s="226">
        <f t="shared" si="1"/>
        <v>883</v>
      </c>
      <c r="H59" s="98">
        <v>104</v>
      </c>
      <c r="I59" s="223"/>
      <c r="J59" s="226">
        <v>1417</v>
      </c>
      <c r="K59" s="228">
        <v>0</v>
      </c>
    </row>
    <row r="60" spans="1:11" ht="12.75">
      <c r="A60" s="89" t="s">
        <v>382</v>
      </c>
      <c r="B60" s="226">
        <v>7078</v>
      </c>
      <c r="C60" s="226">
        <v>13730</v>
      </c>
      <c r="D60" s="226">
        <v>1351</v>
      </c>
      <c r="E60" s="227">
        <v>7.44</v>
      </c>
      <c r="F60" s="226">
        <v>2777</v>
      </c>
      <c r="G60" s="226">
        <f t="shared" si="1"/>
        <v>6848</v>
      </c>
      <c r="H60" s="98">
        <v>230</v>
      </c>
      <c r="I60" s="223"/>
      <c r="J60" s="226">
        <v>9713</v>
      </c>
      <c r="K60" s="228">
        <v>4043</v>
      </c>
    </row>
    <row r="61" spans="1:11" ht="12.75">
      <c r="A61" s="89" t="s">
        <v>383</v>
      </c>
      <c r="B61" s="226">
        <v>2320</v>
      </c>
      <c r="C61" s="226">
        <v>19042</v>
      </c>
      <c r="D61" s="226">
        <v>884</v>
      </c>
      <c r="E61" s="227">
        <v>2.09</v>
      </c>
      <c r="F61" s="226">
        <v>-14829</v>
      </c>
      <c r="G61" s="226">
        <f t="shared" si="1"/>
        <v>2320</v>
      </c>
      <c r="H61" s="98">
        <v>0</v>
      </c>
      <c r="I61" s="223"/>
      <c r="J61" s="226">
        <v>18022</v>
      </c>
      <c r="K61" s="228">
        <v>11413</v>
      </c>
    </row>
    <row r="62" spans="1:11" ht="12.75">
      <c r="A62" s="89" t="s">
        <v>384</v>
      </c>
      <c r="B62" s="226">
        <v>251</v>
      </c>
      <c r="C62" s="226">
        <v>18</v>
      </c>
      <c r="D62" s="226">
        <v>747</v>
      </c>
      <c r="E62" s="227">
        <v>2.62</v>
      </c>
      <c r="F62" s="226">
        <v>-15343</v>
      </c>
      <c r="G62" s="226">
        <f t="shared" si="1"/>
        <v>251</v>
      </c>
      <c r="H62" s="98">
        <v>0</v>
      </c>
      <c r="I62" s="223"/>
      <c r="J62" s="226">
        <v>0</v>
      </c>
      <c r="K62" s="228">
        <v>0</v>
      </c>
    </row>
    <row r="63" spans="1:11" ht="12.75">
      <c r="A63" s="89" t="s">
        <v>385</v>
      </c>
      <c r="B63" s="226">
        <v>39</v>
      </c>
      <c r="C63" s="226">
        <v>12</v>
      </c>
      <c r="D63" s="226">
        <v>343</v>
      </c>
      <c r="E63" s="227">
        <v>1.2</v>
      </c>
      <c r="F63" s="226">
        <v>-15659</v>
      </c>
      <c r="G63" s="226">
        <f t="shared" si="1"/>
        <v>39</v>
      </c>
      <c r="H63" s="98">
        <v>0</v>
      </c>
      <c r="I63" s="226"/>
      <c r="J63" s="228">
        <v>0</v>
      </c>
      <c r="K63" s="228">
        <v>0</v>
      </c>
    </row>
    <row r="64" spans="1:11" ht="12.75">
      <c r="A64" s="89" t="s">
        <v>386</v>
      </c>
      <c r="B64" s="226">
        <v>1019</v>
      </c>
      <c r="C64" s="226">
        <v>12</v>
      </c>
      <c r="D64" s="226">
        <v>242</v>
      </c>
      <c r="E64" s="227">
        <v>0.8</v>
      </c>
      <c r="F64" s="226">
        <v>-14894</v>
      </c>
      <c r="G64" s="226">
        <f t="shared" si="1"/>
        <v>188</v>
      </c>
      <c r="H64" s="98">
        <v>831</v>
      </c>
      <c r="I64" s="226"/>
      <c r="J64" s="228">
        <v>0</v>
      </c>
      <c r="K64" s="228">
        <v>0</v>
      </c>
    </row>
    <row r="65" spans="1:11" ht="13.5" thickBot="1">
      <c r="A65" s="89" t="s">
        <v>387</v>
      </c>
      <c r="B65" s="226">
        <v>2574</v>
      </c>
      <c r="C65" s="226">
        <v>12</v>
      </c>
      <c r="D65" s="226">
        <v>122</v>
      </c>
      <c r="E65" s="227">
        <v>0.04</v>
      </c>
      <c r="F65" s="226">
        <v>-12454</v>
      </c>
      <c r="G65" s="226">
        <f t="shared" si="1"/>
        <v>746</v>
      </c>
      <c r="H65" s="226">
        <v>1828</v>
      </c>
      <c r="I65" s="226"/>
      <c r="J65" s="228">
        <v>0</v>
      </c>
      <c r="K65" s="228">
        <v>0</v>
      </c>
    </row>
    <row r="66" spans="1:11" ht="13.5" thickTop="1">
      <c r="A66" s="92" t="s">
        <v>307</v>
      </c>
      <c r="B66" s="92">
        <f>SUM(B54:B65)</f>
        <v>30821</v>
      </c>
      <c r="C66" s="226">
        <f>SUM(C54:C65)</f>
        <v>35243</v>
      </c>
      <c r="D66" s="226">
        <f>SUM(D54:D65)</f>
        <v>8032</v>
      </c>
      <c r="E66" s="227">
        <f>SUM(E54:E65)</f>
        <v>30.73</v>
      </c>
      <c r="F66" s="227" t="s">
        <v>388</v>
      </c>
      <c r="G66" s="92">
        <f>SUM(G54:G65)</f>
        <v>16691</v>
      </c>
      <c r="H66" s="92">
        <f>SUM(H54:H65)</f>
        <v>14130</v>
      </c>
      <c r="I66" s="226"/>
      <c r="J66" s="226">
        <f>SUM(J54:J65)</f>
        <v>30134</v>
      </c>
      <c r="K66" s="226">
        <f>SUM(K54:K65)</f>
        <v>15456</v>
      </c>
    </row>
    <row r="67" spans="1:12" ht="15">
      <c r="A67" s="232" t="s">
        <v>539</v>
      </c>
      <c r="B67" s="90"/>
      <c r="C67" s="90"/>
      <c r="D67" s="90"/>
      <c r="E67" s="223"/>
      <c r="F67" s="223"/>
      <c r="G67" s="228"/>
      <c r="H67" s="223"/>
      <c r="I67" s="223"/>
      <c r="J67" s="223"/>
      <c r="K67" s="223"/>
      <c r="L67" s="223"/>
    </row>
  </sheetData>
  <sheetProtection/>
  <mergeCells count="15">
    <mergeCell ref="A48:K48"/>
    <mergeCell ref="B49:F49"/>
    <mergeCell ref="J50:K50"/>
    <mergeCell ref="A24:K24"/>
    <mergeCell ref="G25:K25"/>
    <mergeCell ref="B26:E26"/>
    <mergeCell ref="G26:H26"/>
    <mergeCell ref="J26:K26"/>
    <mergeCell ref="A47:K47"/>
    <mergeCell ref="A1:K1"/>
    <mergeCell ref="A2:K2"/>
    <mergeCell ref="B3:F3"/>
    <mergeCell ref="H4:I4"/>
    <mergeCell ref="K4:L4"/>
    <mergeCell ref="A23:K23"/>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E1" sqref="E1:E16384"/>
    </sheetView>
  </sheetViews>
  <sheetFormatPr defaultColWidth="9.140625" defaultRowHeight="12.75"/>
  <cols>
    <col min="1" max="1" width="68.8515625" style="0" customWidth="1"/>
    <col min="2" max="2" width="9.7109375" style="0" customWidth="1"/>
  </cols>
  <sheetData>
    <row r="1" spans="1:3" ht="15.75">
      <c r="A1" s="62" t="s">
        <v>178</v>
      </c>
      <c r="B1">
        <f>INPUT!C1</f>
        <v>2001</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13534</v>
      </c>
    </row>
    <row r="7" spans="1:2" ht="12.75">
      <c r="A7" s="55" t="str">
        <f>INPUT!B5</f>
        <v>GW CBCU Kansas</v>
      </c>
      <c r="B7" s="55">
        <f>+INPUT!C5</f>
        <v>18</v>
      </c>
    </row>
    <row r="8" spans="1:2" ht="12" customHeight="1">
      <c r="A8" s="55" t="str">
        <f>INPUT!B6</f>
        <v>GW CBCU Nebraska</v>
      </c>
      <c r="B8" s="55">
        <f>+INPUT!C6</f>
        <v>1676</v>
      </c>
    </row>
    <row r="9" spans="1:2" ht="12" customHeight="1">
      <c r="A9" s="9"/>
      <c r="B9" s="9"/>
    </row>
    <row r="10" spans="1:2" ht="12.75">
      <c r="A10" s="5" t="s">
        <v>182</v>
      </c>
      <c r="B10" s="2"/>
    </row>
    <row r="11" spans="1:2" ht="12.75">
      <c r="A11" s="59" t="str">
        <f>INPUT!B183</f>
        <v>North Fork Republican River At Colorado-Nebraska State Line</v>
      </c>
      <c r="B11" s="55">
        <f>+INPUT!C183</f>
        <v>19751.57</v>
      </c>
    </row>
    <row r="12" spans="1:2" ht="12.75">
      <c r="A12" s="59" t="str">
        <f>INPUT!B232</f>
        <v>Haigler Canal Diversions - Colorado</v>
      </c>
      <c r="B12" s="55">
        <f>+INPUT!C232</f>
        <v>1718</v>
      </c>
    </row>
    <row r="13" spans="1:2" ht="12.75">
      <c r="A13" s="59" t="str">
        <f>INPUT!B62</f>
        <v>SW Diversions - Irrigation -Non-Federal Canals- Colorado</v>
      </c>
      <c r="B13" s="55">
        <f>+INPUT!C62</f>
        <v>2964</v>
      </c>
    </row>
    <row r="14" spans="1:2" ht="12.75">
      <c r="A14" s="120" t="str">
        <f>INPUT!B63</f>
        <v>SW Diversions - Irrigation - Small Pumps - Colorado</v>
      </c>
      <c r="B14" s="121">
        <f>INPUT!C63</f>
        <v>0</v>
      </c>
    </row>
    <row r="15" spans="1:2" ht="12.75">
      <c r="A15" s="59" t="str">
        <f>INPUT!B64</f>
        <v>SW Diversions - M&amp;I - Colorado</v>
      </c>
      <c r="B15" s="55">
        <f>+INPUT!C64</f>
        <v>0</v>
      </c>
    </row>
    <row r="16" spans="1:3" ht="12.75">
      <c r="A16" s="59" t="str">
        <f>INPUT!B233</f>
        <v>Haigler Canal Diversions - Nebraska</v>
      </c>
      <c r="B16" s="55">
        <f>+INPUT!C233</f>
        <v>5011</v>
      </c>
      <c r="C16" s="69"/>
    </row>
    <row r="17" spans="1:3" ht="12.75">
      <c r="A17" s="59" t="str">
        <f>INPUT!B153</f>
        <v>Non-Federal Reservoir Evaporation - Colorado</v>
      </c>
      <c r="B17" s="55">
        <f>+INPUT!C153</f>
        <v>0</v>
      </c>
      <c r="C17" s="69"/>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1" t="str">
        <f>(LEFT(INPUT!B232,13))&amp;" "&amp;"CBCU"</f>
        <v>Haigler Canal CBCU</v>
      </c>
      <c r="B22" s="2">
        <f>B12*CanalCUPercent</f>
        <v>1030.8</v>
      </c>
    </row>
    <row r="23" spans="1:2" ht="12.75">
      <c r="A23" s="2" t="s">
        <v>254</v>
      </c>
      <c r="B23" s="2">
        <f>B13*CanalCUPercent</f>
        <v>1778.3999999999999</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79">
        <f>B22+B23+B24+B25+B26</f>
        <v>2809.2</v>
      </c>
      <c r="C27" s="76"/>
    </row>
    <row r="28" spans="1:3" ht="12.75">
      <c r="A28" s="2" t="s">
        <v>242</v>
      </c>
      <c r="B28" s="17">
        <f>B6</f>
        <v>13534</v>
      </c>
      <c r="C28" s="76"/>
    </row>
    <row r="29" spans="1:2" ht="12.75">
      <c r="A29" s="2" t="s">
        <v>258</v>
      </c>
      <c r="B29" s="4">
        <f>(ROUND(SUM(B27:B28),-1))</f>
        <v>16340</v>
      </c>
    </row>
    <row r="30" spans="1:2" ht="12.75">
      <c r="A30" s="2" t="s">
        <v>83</v>
      </c>
      <c r="B30" s="2"/>
    </row>
    <row r="31" spans="1:2" ht="12.75">
      <c r="A31" s="8" t="s">
        <v>183</v>
      </c>
      <c r="B31" s="2"/>
    </row>
    <row r="32" spans="1:3" ht="12.75">
      <c r="A32" s="2" t="str">
        <f>A28</f>
        <v>GW CBCU</v>
      </c>
      <c r="B32" s="17">
        <f>B7</f>
        <v>18</v>
      </c>
      <c r="C32" s="76"/>
    </row>
    <row r="33" spans="1:2" ht="12.75">
      <c r="A33" s="2" t="str">
        <f>A29</f>
        <v>Total CBCU</v>
      </c>
      <c r="B33" s="4">
        <f>(ROUND(SUM(B32:B32),-1))</f>
        <v>20</v>
      </c>
    </row>
    <row r="34" spans="1:2" ht="12.75">
      <c r="A34" s="2" t="s">
        <v>83</v>
      </c>
      <c r="B34" s="2"/>
    </row>
    <row r="35" spans="1:2" ht="12.75">
      <c r="A35" s="8" t="s">
        <v>1</v>
      </c>
      <c r="B35" s="2"/>
    </row>
    <row r="36" spans="1:2" ht="12.75">
      <c r="A36" s="12" t="str">
        <f>A22</f>
        <v>Haigler Canal CBCU</v>
      </c>
      <c r="B36" s="2">
        <f>+B16*CanalCUPercent</f>
        <v>3006.6</v>
      </c>
    </row>
    <row r="37" spans="1:3" ht="13.5" customHeight="1">
      <c r="A37" s="2" t="str">
        <f>A27</f>
        <v>SW CBCU</v>
      </c>
      <c r="B37" s="79">
        <f>B36</f>
        <v>3006.6</v>
      </c>
      <c r="C37" s="84"/>
    </row>
    <row r="38" spans="1:3" ht="12.75">
      <c r="A38" s="2" t="str">
        <f>A28</f>
        <v>GW CBCU</v>
      </c>
      <c r="B38" s="17">
        <f>B8</f>
        <v>1676</v>
      </c>
      <c r="C38" s="76"/>
    </row>
    <row r="39" spans="1:2" ht="12.75">
      <c r="A39" s="2" t="str">
        <f>A29</f>
        <v>Total CBCU</v>
      </c>
      <c r="B39" s="4">
        <f>(ROUND(SUM(B37:B38),-1))</f>
        <v>4680</v>
      </c>
    </row>
    <row r="40" spans="1:2" ht="12.75">
      <c r="A40" s="9" t="s">
        <v>83</v>
      </c>
      <c r="B40" s="2"/>
    </row>
    <row r="41" spans="1:2" ht="12.75">
      <c r="A41" s="5" t="s">
        <v>184</v>
      </c>
      <c r="B41" s="2"/>
    </row>
    <row r="42" spans="1:2" ht="12.75">
      <c r="A42" s="9" t="s">
        <v>243</v>
      </c>
      <c r="B42" s="4">
        <f>+B27+B37</f>
        <v>5815.799999999999</v>
      </c>
    </row>
    <row r="43" spans="1:2" ht="12.75">
      <c r="A43" s="9" t="s">
        <v>244</v>
      </c>
      <c r="B43" s="4">
        <f>+B28+B32+B38</f>
        <v>15228</v>
      </c>
    </row>
    <row r="44" spans="1:2" ht="12.75">
      <c r="A44" s="9" t="s">
        <v>245</v>
      </c>
      <c r="B44" s="4">
        <f>SUM(B42:B43)</f>
        <v>21043.8</v>
      </c>
    </row>
    <row r="45" spans="1:2" ht="12.75">
      <c r="A45" s="9" t="s">
        <v>83</v>
      </c>
      <c r="B45" s="2"/>
    </row>
    <row r="46" spans="1:2" ht="15.75">
      <c r="A46" s="11" t="s">
        <v>10</v>
      </c>
      <c r="B46" s="2"/>
    </row>
    <row r="47" spans="1:2" ht="12.75">
      <c r="A47" s="2" t="str">
        <f>A11</f>
        <v>North Fork Republican River At Colorado-Nebraska State Line</v>
      </c>
      <c r="B47" s="4">
        <f>B11</f>
        <v>19751.57</v>
      </c>
    </row>
    <row r="48" spans="1:2" ht="12.75">
      <c r="A48" s="2" t="s">
        <v>186</v>
      </c>
      <c r="B48" s="4">
        <f>B16-B36</f>
        <v>2004.4</v>
      </c>
    </row>
    <row r="49" spans="1:2" ht="12.75">
      <c r="A49" s="2" t="s">
        <v>246</v>
      </c>
      <c r="B49" s="4">
        <f>+B29</f>
        <v>16340</v>
      </c>
    </row>
    <row r="50" spans="1:2" ht="12.75">
      <c r="A50" s="2" t="s">
        <v>247</v>
      </c>
      <c r="B50" s="4">
        <f>+B33</f>
        <v>20</v>
      </c>
    </row>
    <row r="51" spans="1:2" ht="12.75">
      <c r="A51" s="2" t="s">
        <v>248</v>
      </c>
      <c r="B51" s="4">
        <f>+B39</f>
        <v>4680</v>
      </c>
    </row>
    <row r="52" spans="1:3" ht="12.75">
      <c r="A52" s="2" t="s">
        <v>185</v>
      </c>
      <c r="B52" s="17">
        <f>+B5</f>
        <v>0</v>
      </c>
      <c r="C52" s="76"/>
    </row>
    <row r="53" spans="1:2" ht="12.75">
      <c r="A53" s="2" t="s">
        <v>10</v>
      </c>
      <c r="B53" s="4">
        <f>ROUND(SUM(B47:B51)-B52,-1)</f>
        <v>42800</v>
      </c>
    </row>
    <row r="54" spans="1:2" ht="12.75">
      <c r="A54" s="2" t="s">
        <v>187</v>
      </c>
      <c r="B54" s="2">
        <f>B18</f>
        <v>0</v>
      </c>
    </row>
    <row r="55" spans="1:2" ht="12.75">
      <c r="A55" s="2" t="s">
        <v>11</v>
      </c>
      <c r="B55" s="4">
        <f>ROUND(+B53-B54,-1)</f>
        <v>42800</v>
      </c>
    </row>
    <row r="56" spans="1:2" ht="12.75">
      <c r="A56" s="9" t="s">
        <v>83</v>
      </c>
      <c r="B56" s="2"/>
    </row>
    <row r="57" spans="1:2" ht="15.75">
      <c r="A57" s="11" t="s">
        <v>12</v>
      </c>
      <c r="B57" s="13"/>
    </row>
    <row r="58" spans="1:2" ht="12.75">
      <c r="A58" s="2" t="s">
        <v>188</v>
      </c>
      <c r="B58" s="78">
        <f>'T2'!D3</f>
        <v>0.224</v>
      </c>
    </row>
    <row r="59" spans="1:2" ht="12.75">
      <c r="A59" s="2" t="s">
        <v>27</v>
      </c>
      <c r="B59" s="32">
        <f>ROUND(+B55*B58,-1)</f>
        <v>9590</v>
      </c>
    </row>
    <row r="60" spans="1:2" ht="12.75">
      <c r="A60" s="2" t="s">
        <v>189</v>
      </c>
      <c r="B60" s="78">
        <f>'T2'!F3</f>
        <v>0</v>
      </c>
    </row>
    <row r="61" spans="1:2" ht="12.75">
      <c r="A61" s="2" t="s">
        <v>29</v>
      </c>
      <c r="B61" s="32">
        <f>ROUND(B55*B60,-1)</f>
        <v>0</v>
      </c>
    </row>
    <row r="62" spans="1:2" ht="12.75">
      <c r="A62" s="2" t="s">
        <v>190</v>
      </c>
      <c r="B62" s="78">
        <f>'T2'!H3</f>
        <v>0.246</v>
      </c>
    </row>
    <row r="63" spans="1:2" ht="12.75">
      <c r="A63" s="2" t="s">
        <v>30</v>
      </c>
      <c r="B63" s="32">
        <f>ROUND(B55*B62,-1)</f>
        <v>10530</v>
      </c>
    </row>
    <row r="64" spans="1:2" ht="12.75">
      <c r="A64" s="2" t="s">
        <v>191</v>
      </c>
      <c r="B64" s="32">
        <f>+B59+B61+B63</f>
        <v>20120</v>
      </c>
    </row>
    <row r="65" spans="1:2" ht="12.75">
      <c r="A65" s="2" t="s">
        <v>192</v>
      </c>
      <c r="B65" s="78">
        <f>'T2'!J3</f>
        <v>0.53</v>
      </c>
    </row>
    <row r="66" spans="1:2" ht="12.75">
      <c r="A66" s="2" t="s">
        <v>193</v>
      </c>
      <c r="B66" s="4">
        <f>+B55-B59-B61-B63</f>
        <v>22680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2001</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1288</v>
      </c>
    </row>
    <row r="7" spans="1:2" ht="12.75">
      <c r="A7" s="55" t="str">
        <f>INPUT!B8</f>
        <v>GW CBCU Kansas</v>
      </c>
      <c r="B7" s="55">
        <f>+INPUT!C8</f>
        <v>190</v>
      </c>
    </row>
    <row r="8" spans="1:2" ht="12" customHeight="1">
      <c r="A8" s="55" t="str">
        <f>INPUT!B9</f>
        <v>GW CBCU Nebraska</v>
      </c>
      <c r="B8" s="63">
        <f>+INPUT!C9</f>
        <v>341</v>
      </c>
    </row>
    <row r="9" spans="1:2" ht="12" customHeight="1">
      <c r="A9" s="64" t="s">
        <v>83</v>
      </c>
      <c r="B9" s="64"/>
    </row>
    <row r="10" spans="1:2" ht="12.75">
      <c r="A10" s="5" t="s">
        <v>182</v>
      </c>
      <c r="B10" s="2"/>
    </row>
    <row r="11" spans="1:2" ht="12.75">
      <c r="A11" s="55" t="str">
        <f>+INPUT!B184</f>
        <v>Arikaree River At Haigler</v>
      </c>
      <c r="B11" s="55">
        <f>+INPUT!C184</f>
        <v>552.74</v>
      </c>
    </row>
    <row r="12" spans="1:2" ht="12.75">
      <c r="A12" s="55" t="str">
        <f>INPUT!B65</f>
        <v>SW Diversions - Irrigation -Non-Federal Canals- Colorado</v>
      </c>
      <c r="B12" s="55">
        <f>INPUT!C65</f>
        <v>0</v>
      </c>
    </row>
    <row r="13" spans="1:2" ht="12.75">
      <c r="A13" s="122" t="str">
        <f>INPUT!B66</f>
        <v>SW Diversions - Irrigation - Small Pumps - Colorado</v>
      </c>
      <c r="B13" s="122">
        <f>INPUT!C66</f>
        <v>0</v>
      </c>
    </row>
    <row r="14" spans="1:2" ht="12.75">
      <c r="A14" s="122" t="str">
        <f>+INPUT!B67</f>
        <v>SW Diversions - M&amp;I - Colorado</v>
      </c>
      <c r="B14" s="122">
        <f>+INPUT!C67</f>
        <v>0</v>
      </c>
    </row>
    <row r="15" spans="1:2" ht="12.75">
      <c r="A15" s="122" t="str">
        <f>+INPUT!B68</f>
        <v>SW Diversions - Irrigation - Non-Federal Canals- Kansas</v>
      </c>
      <c r="B15" s="122">
        <f>+INPUT!C68</f>
        <v>0</v>
      </c>
    </row>
    <row r="16" spans="1:2" ht="12.75">
      <c r="A16" s="122" t="str">
        <f>+INPUT!B69</f>
        <v>SW Diversions - Irrigation - Small Pumps - Kansas</v>
      </c>
      <c r="B16" s="122">
        <f>+INPUT!C69</f>
        <v>0</v>
      </c>
    </row>
    <row r="17" spans="1:2" ht="12.75">
      <c r="A17" s="122" t="str">
        <f>+INPUT!B70</f>
        <v>SW Diversions - M&amp;I - Kansas</v>
      </c>
      <c r="B17" s="122">
        <f>+INPUT!C70</f>
        <v>0</v>
      </c>
    </row>
    <row r="18" spans="1:2" ht="12.75">
      <c r="A18" s="122" t="str">
        <f>+INPUT!B71</f>
        <v>SW Diversions - Irrigation - Non-Federal Canals - Nebraska</v>
      </c>
      <c r="B18" s="122">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17" t="str">
        <f>'NORTH FORK'!A23</f>
        <v>SW CBCU - Irrigation - Non Federal Canals</v>
      </c>
      <c r="B28" s="123">
        <f>B12*CanalCUPercent</f>
        <v>0</v>
      </c>
    </row>
    <row r="29" spans="1:2" ht="12.75">
      <c r="A29" s="117" t="str">
        <f>'NORTH FORK'!A24</f>
        <v>SW CBCU - Irrigation - Small Pumps</v>
      </c>
      <c r="B29" s="123">
        <f>B13*PumperCUPercent</f>
        <v>0</v>
      </c>
    </row>
    <row r="30" spans="1:2" ht="12.75">
      <c r="A30" s="117" t="str">
        <f>'NORTH FORK'!A25</f>
        <v>SW CBCU - M&amp;I</v>
      </c>
      <c r="B30" s="123">
        <f>B14*MI_CUPercent</f>
        <v>0</v>
      </c>
    </row>
    <row r="31" spans="1:2" ht="12.75">
      <c r="A31" s="117" t="str">
        <f>'NORTH FORK'!A26</f>
        <v>Non-Federal Reservoir Evaporation</v>
      </c>
      <c r="B31" s="117">
        <f>B21</f>
        <v>0</v>
      </c>
    </row>
    <row r="32" spans="1:3" ht="12.75">
      <c r="A32" s="117" t="str">
        <f>'NORTH FORK'!A27</f>
        <v>SW CBCU</v>
      </c>
      <c r="B32" s="124">
        <f>B28+B29+B30+B31</f>
        <v>0</v>
      </c>
      <c r="C32" s="76"/>
    </row>
    <row r="33" spans="1:3" ht="12.75">
      <c r="A33" s="117" t="str">
        <f>'NORTH FORK'!A28</f>
        <v>GW CBCU</v>
      </c>
      <c r="B33" s="117">
        <f>B6</f>
        <v>1288</v>
      </c>
      <c r="C33" s="76"/>
    </row>
    <row r="34" spans="1:2" ht="12.75">
      <c r="A34" s="117" t="str">
        <f>'NORTH FORK'!A29</f>
        <v>Total CBCU</v>
      </c>
      <c r="B34" s="124">
        <f>(ROUND(SUM(B32:B33),-1))</f>
        <v>1290</v>
      </c>
    </row>
    <row r="35" spans="1:2" ht="12.75">
      <c r="A35" s="117" t="s">
        <v>83</v>
      </c>
      <c r="B35" s="117"/>
    </row>
    <row r="36" spans="1:2" ht="12.75">
      <c r="A36" s="125" t="s">
        <v>183</v>
      </c>
      <c r="B36" s="126"/>
    </row>
    <row r="37" spans="1:2" ht="12.75">
      <c r="A37" s="127" t="str">
        <f aca="true" t="shared" si="0" ref="A37:A43">A28</f>
        <v>SW CBCU - Irrigation - Non Federal Canals</v>
      </c>
      <c r="B37" s="126">
        <f>B15*CanalCUPercent</f>
        <v>0</v>
      </c>
    </row>
    <row r="38" spans="1:2" ht="12.75">
      <c r="A38" s="126" t="str">
        <f t="shared" si="0"/>
        <v>SW CBCU - Irrigation - Small Pumps</v>
      </c>
      <c r="B38" s="126">
        <f>B16*PumperCUPercent</f>
        <v>0</v>
      </c>
    </row>
    <row r="39" spans="1:2" ht="12.75">
      <c r="A39" s="126" t="str">
        <f t="shared" si="0"/>
        <v>SW CBCU - M&amp;I</v>
      </c>
      <c r="B39" s="126">
        <f>B17*MI_CUPercent</f>
        <v>0</v>
      </c>
    </row>
    <row r="40" spans="1:3" ht="12.75">
      <c r="A40" s="126" t="str">
        <f t="shared" si="0"/>
        <v>Non-Federal Reservoir Evaporation</v>
      </c>
      <c r="B40" s="126">
        <f>B22</f>
        <v>0</v>
      </c>
      <c r="C40" s="76"/>
    </row>
    <row r="41" spans="1:3" ht="12.75">
      <c r="A41" s="126" t="str">
        <f t="shared" si="0"/>
        <v>SW CBCU</v>
      </c>
      <c r="B41" s="128">
        <f>B37+B38+B39+B40</f>
        <v>0</v>
      </c>
      <c r="C41" s="76"/>
    </row>
    <row r="42" spans="1:3" ht="12.75">
      <c r="A42" s="126" t="str">
        <f t="shared" si="0"/>
        <v>GW CBCU</v>
      </c>
      <c r="B42" s="126">
        <f>B7</f>
        <v>190</v>
      </c>
      <c r="C42" s="76"/>
    </row>
    <row r="43" spans="1:2" ht="12.75">
      <c r="A43" s="126" t="str">
        <f t="shared" si="0"/>
        <v>Total CBCU</v>
      </c>
      <c r="B43" s="128">
        <f>(ROUND(SUM(B41:B42),-1))</f>
        <v>190</v>
      </c>
    </row>
    <row r="44" spans="1:2" ht="12.75">
      <c r="A44" s="126" t="s">
        <v>83</v>
      </c>
      <c r="B44" s="126"/>
    </row>
    <row r="45" spans="1:2" ht="12.75">
      <c r="A45" s="125" t="s">
        <v>1</v>
      </c>
      <c r="B45" s="126"/>
    </row>
    <row r="46" spans="1:2" ht="12.75">
      <c r="A46" s="126" t="str">
        <f aca="true" t="shared" si="1" ref="A46:A52">A28</f>
        <v>SW CBCU - Irrigation - Non Federal Canals</v>
      </c>
      <c r="B46" s="128">
        <f>B18*CanalCUPercent</f>
        <v>0</v>
      </c>
    </row>
    <row r="47" spans="1:2" ht="12.75">
      <c r="A47" s="126" t="str">
        <f t="shared" si="1"/>
        <v>SW CBCU - Irrigation - Small Pumps</v>
      </c>
      <c r="B47" s="128">
        <f>B19*PumperCUPercent</f>
        <v>0</v>
      </c>
    </row>
    <row r="48" spans="1:2" ht="12.75">
      <c r="A48" s="126" t="str">
        <f t="shared" si="1"/>
        <v>SW CBCU - M&amp;I</v>
      </c>
      <c r="B48" s="128">
        <f>B20*MI_CUPercent</f>
        <v>0</v>
      </c>
    </row>
    <row r="49" spans="1:3" ht="12.75">
      <c r="A49" s="126" t="str">
        <f t="shared" si="1"/>
        <v>Non-Federal Reservoir Evaporation</v>
      </c>
      <c r="B49" s="126">
        <f>B23</f>
        <v>0</v>
      </c>
      <c r="C49" s="76"/>
    </row>
    <row r="50" spans="1:3" ht="12.75">
      <c r="A50" s="126" t="str">
        <f t="shared" si="1"/>
        <v>SW CBCU</v>
      </c>
      <c r="B50" s="128">
        <f>B46+B47+B48+B49</f>
        <v>0</v>
      </c>
      <c r="C50" s="76"/>
    </row>
    <row r="51" spans="1:3" ht="12.75">
      <c r="A51" s="126" t="str">
        <f t="shared" si="1"/>
        <v>GW CBCU</v>
      </c>
      <c r="B51" s="126">
        <f>B8</f>
        <v>341</v>
      </c>
      <c r="C51" s="76"/>
    </row>
    <row r="52" spans="1:2" ht="12.75">
      <c r="A52" s="126" t="str">
        <f t="shared" si="1"/>
        <v>Total CBCU</v>
      </c>
      <c r="B52" s="128">
        <f>(ROUND(SUM(B50:B51),-1))</f>
        <v>340</v>
      </c>
    </row>
    <row r="53" spans="1:2" ht="12.75">
      <c r="A53" s="129" t="s">
        <v>83</v>
      </c>
      <c r="B53" s="126"/>
    </row>
    <row r="54" spans="1:2" ht="12.75">
      <c r="A54" s="130" t="s">
        <v>184</v>
      </c>
      <c r="B54" s="126"/>
    </row>
    <row r="55" spans="1:2" ht="12.75">
      <c r="A55" s="129" t="str">
        <f>'NORTH FORK'!A42</f>
        <v>Total SW CBCU</v>
      </c>
      <c r="B55" s="128">
        <f>+B32+B41+B50</f>
        <v>0</v>
      </c>
    </row>
    <row r="56" spans="1:2" ht="12.75">
      <c r="A56" s="129" t="str">
        <f>'NORTH FORK'!A43</f>
        <v>Total GW CBCU</v>
      </c>
      <c r="B56" s="128">
        <f>+B33+B42+B51</f>
        <v>1819</v>
      </c>
    </row>
    <row r="57" spans="1:2" ht="12.75">
      <c r="A57" s="129" t="str">
        <f>'NORTH FORK'!A44</f>
        <v>Total Basin CBCU</v>
      </c>
      <c r="B57" s="128">
        <f>(ROUND(SUM(B55:B56),-1))</f>
        <v>1820</v>
      </c>
    </row>
    <row r="58" spans="1:2" ht="12.75">
      <c r="A58" s="129" t="s">
        <v>83</v>
      </c>
      <c r="B58" s="126"/>
    </row>
    <row r="59" spans="1:2" ht="15.75">
      <c r="A59" s="131" t="s">
        <v>10</v>
      </c>
      <c r="B59" s="132"/>
    </row>
    <row r="60" spans="1:2" ht="12.75">
      <c r="A60" s="132" t="str">
        <f>A11</f>
        <v>Arikaree River At Haigler</v>
      </c>
      <c r="B60" s="133">
        <f>B11</f>
        <v>552.74</v>
      </c>
    </row>
    <row r="61" spans="1:2" ht="12.75">
      <c r="A61" s="132" t="str">
        <f>'NORTH FORK'!A49</f>
        <v>Colorado CBCU</v>
      </c>
      <c r="B61" s="133">
        <f>+B34</f>
        <v>1290</v>
      </c>
    </row>
    <row r="62" spans="1:2" ht="12.75">
      <c r="A62" s="132" t="str">
        <f>'NORTH FORK'!A50</f>
        <v>Kansas CBCU</v>
      </c>
      <c r="B62" s="133">
        <f>+B43</f>
        <v>190</v>
      </c>
    </row>
    <row r="63" spans="1:2" ht="12.75">
      <c r="A63" s="132" t="str">
        <f>'NORTH FORK'!A51</f>
        <v>Nebraska CBCU</v>
      </c>
      <c r="B63" s="133">
        <f>+B52</f>
        <v>340</v>
      </c>
    </row>
    <row r="64" spans="1:3" ht="12.75">
      <c r="A64" s="132" t="str">
        <f>'NORTH FORK'!A52</f>
        <v>Imported Water</v>
      </c>
      <c r="B64" s="132">
        <f>+B5</f>
        <v>0</v>
      </c>
      <c r="C64" s="76"/>
    </row>
    <row r="65" spans="1:2" ht="12.75">
      <c r="A65" s="132" t="str">
        <f>'NORTH FORK'!A53</f>
        <v>Virgin Water Supply</v>
      </c>
      <c r="B65" s="133">
        <f>ROUND(SUM(B60:B63)-B64,-1)</f>
        <v>2370</v>
      </c>
    </row>
    <row r="66" spans="1:2" ht="12.75">
      <c r="A66" s="132" t="str">
        <f>'NORTH FORK'!A54</f>
        <v>Adjustment For Flood Flows</v>
      </c>
      <c r="B66" s="132">
        <f>B24</f>
        <v>0</v>
      </c>
    </row>
    <row r="67" spans="1:2" ht="12.75">
      <c r="A67" s="132" t="str">
        <f>'NORTH FORK'!A55</f>
        <v>Computed Water Supply</v>
      </c>
      <c r="B67" s="133">
        <f>ROUND(+B65-B66,-1)</f>
        <v>2370</v>
      </c>
    </row>
    <row r="68" spans="1:2" ht="12.75">
      <c r="A68" s="134" t="s">
        <v>83</v>
      </c>
      <c r="B68" s="132"/>
    </row>
    <row r="69" spans="1:2" ht="15.75">
      <c r="A69" s="131" t="s">
        <v>12</v>
      </c>
      <c r="B69" s="135"/>
    </row>
    <row r="70" spans="1:2" ht="12.75">
      <c r="A70" s="126" t="str">
        <f>'NORTH FORK'!A58</f>
        <v>Colorado Percent Of Allocation</v>
      </c>
      <c r="B70" s="136">
        <f>'T2'!D4</f>
        <v>0.785</v>
      </c>
    </row>
    <row r="71" spans="1:2" ht="12.75">
      <c r="A71" s="126" t="str">
        <f>'NORTH FORK'!A59</f>
        <v>Colorado Allocation</v>
      </c>
      <c r="B71" s="128">
        <f>ROUND(+B67*B70,-1)</f>
        <v>1860</v>
      </c>
    </row>
    <row r="72" spans="1:2" ht="12.75">
      <c r="A72" s="126" t="str">
        <f>'NORTH FORK'!A60</f>
        <v>Kansas Percent Of Allocation</v>
      </c>
      <c r="B72" s="136">
        <f>'T2'!F4</f>
        <v>0.051</v>
      </c>
    </row>
    <row r="73" spans="1:2" ht="12.75">
      <c r="A73" s="126" t="str">
        <f>'NORTH FORK'!A61</f>
        <v>Kansas Allocation</v>
      </c>
      <c r="B73" s="128">
        <f>ROUND(B67*B72,-1)</f>
        <v>120</v>
      </c>
    </row>
    <row r="74" spans="1:2" ht="12.75">
      <c r="A74" s="126" t="str">
        <f>'NORTH FORK'!A62</f>
        <v>Nebraska Percent Of Allocation</v>
      </c>
      <c r="B74" s="136">
        <f>'T2'!H4</f>
        <v>0.168</v>
      </c>
    </row>
    <row r="75" spans="1:2" ht="12.75">
      <c r="A75" s="126" t="str">
        <f>'NORTH FORK'!A63</f>
        <v>Nebraska Allocation</v>
      </c>
      <c r="B75" s="128">
        <f>ROUND(B67*B74,-1)</f>
        <v>400</v>
      </c>
    </row>
    <row r="76" spans="1:2" ht="12.75">
      <c r="A76" s="126" t="str">
        <f>'NORTH FORK'!A64</f>
        <v>Total Basin Allocation</v>
      </c>
      <c r="B76" s="128">
        <f>+B71+B73+B75</f>
        <v>2380</v>
      </c>
    </row>
    <row r="77" spans="1:2" ht="12.75">
      <c r="A77" s="126" t="str">
        <f>'NORTH FORK'!A65</f>
        <v>Percent Of Supply Not Allocated</v>
      </c>
      <c r="B77" s="136">
        <f>'T2'!J4</f>
        <v>-0.004</v>
      </c>
    </row>
    <row r="78" spans="1:2" ht="12.75">
      <c r="A78" s="126" t="str">
        <f>'NORTH FORK'!A66</f>
        <v>Quantity Of Unallocated Supply</v>
      </c>
      <c r="B78" s="128">
        <f>+B67-B71-B73-B75</f>
        <v>-10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2001</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247</v>
      </c>
      <c r="C6" s="1"/>
    </row>
    <row r="7" spans="1:2" ht="12.75">
      <c r="A7" s="55" t="str">
        <f>+INPUT!B11</f>
        <v>GW CBCU Kansas</v>
      </c>
      <c r="B7" s="55">
        <f>+INPUT!C11</f>
        <v>0</v>
      </c>
    </row>
    <row r="8" spans="1:2" ht="12" customHeight="1">
      <c r="A8" s="55" t="str">
        <f>+INPUT!B12</f>
        <v>GW CBCU Nebraska</v>
      </c>
      <c r="B8" s="55">
        <f>+INPUT!C12</f>
        <v>3099</v>
      </c>
    </row>
    <row r="9" spans="1:2" ht="12.75">
      <c r="A9" s="2" t="s">
        <v>83</v>
      </c>
      <c r="B9" s="2"/>
    </row>
    <row r="10" spans="1:2" ht="12.75">
      <c r="A10" s="5" t="s">
        <v>182</v>
      </c>
      <c r="B10" s="2"/>
    </row>
    <row r="11" spans="1:2" ht="12.75">
      <c r="A11" s="55" t="str">
        <f>+INPUT!B185</f>
        <v>Buffalo Creek Near Haigler</v>
      </c>
      <c r="B11" s="61">
        <f>+INPUT!C185</f>
        <v>2998.78</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2" t="str">
        <f>+INPUT!B77</f>
        <v>SW Diversions - Irrigation - Non-Federal Canals - Nebraska</v>
      </c>
      <c r="B15" s="122">
        <f>+INPUT!C77</f>
        <v>517.27</v>
      </c>
    </row>
    <row r="16" spans="1:2" ht="12.75">
      <c r="A16" s="122" t="str">
        <f>+INPUT!B78</f>
        <v>SW Diversions - Irrigation - Small Pumps - Nebraska</v>
      </c>
      <c r="B16" s="122">
        <f>+INPUT!C78</f>
        <v>0</v>
      </c>
    </row>
    <row r="17" spans="1:2" ht="12.75">
      <c r="A17" s="122" t="str">
        <f>+INPUT!B79</f>
        <v>SW Diversions - M&amp;I - Nebraska</v>
      </c>
      <c r="B17" s="122">
        <f>+INPUT!C79</f>
        <v>0</v>
      </c>
    </row>
    <row r="18" spans="1:2" ht="12.75">
      <c r="A18" s="122" t="str">
        <f>+INPUT!B158</f>
        <v>Non-Federal Reservoir Evaporation - Colorado</v>
      </c>
      <c r="B18" s="122">
        <f>+INPUT!C158</f>
        <v>0</v>
      </c>
    </row>
    <row r="19" spans="1:2" ht="12.75">
      <c r="A19" s="122" t="str">
        <f>+INPUT!B159</f>
        <v>Non-Federal Reservoir Evaporation - Nebraska</v>
      </c>
      <c r="B19" s="122">
        <f>+INPUT!C159</f>
        <v>0</v>
      </c>
    </row>
    <row r="20" spans="1:2" ht="12.75">
      <c r="A20" s="122" t="str">
        <f>+INPUT!B202</f>
        <v>Buffalo Flood Flow</v>
      </c>
      <c r="B20" s="122">
        <f>+INPUT!C202</f>
        <v>0</v>
      </c>
    </row>
    <row r="21" spans="1:2" ht="12.75">
      <c r="A21" s="137"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5">
        <f t="shared" si="0"/>
        <v>0</v>
      </c>
    </row>
    <row r="25" spans="1:2" ht="12.75">
      <c r="A25" s="12" t="str">
        <f t="shared" si="0"/>
        <v>SW Diversions - Irrigation - Small Pumps - Colorado</v>
      </c>
      <c r="B25" s="175">
        <f t="shared" si="0"/>
        <v>0</v>
      </c>
    </row>
    <row r="26" spans="1:2" ht="12.75">
      <c r="A26" s="12" t="str">
        <f t="shared" si="0"/>
        <v>SW Diversions - M&amp;I - Colorado</v>
      </c>
      <c r="B26" s="175">
        <f t="shared" si="0"/>
        <v>0</v>
      </c>
    </row>
    <row r="27" spans="1:2" ht="12.75">
      <c r="A27" s="12" t="str">
        <f>A18</f>
        <v>Non-Federal Reservoir Evaporation - Colorado</v>
      </c>
      <c r="B27" s="175">
        <f>B18</f>
        <v>0</v>
      </c>
    </row>
    <row r="28" spans="1:2" ht="12.75">
      <c r="A28" s="17" t="s">
        <v>241</v>
      </c>
      <c r="B28" s="138">
        <f>B24+B25+B26+B27</f>
        <v>0</v>
      </c>
    </row>
    <row r="29" spans="1:2" ht="12.75">
      <c r="A29" s="17" t="str">
        <f>'NORTH FORK'!A28</f>
        <v>GW CBCU</v>
      </c>
      <c r="B29" s="17">
        <f>+B6</f>
        <v>247</v>
      </c>
    </row>
    <row r="30" spans="1:2" ht="12.75">
      <c r="A30" s="17" t="str">
        <f>'NORTH FORK'!A29</f>
        <v>Total CBCU</v>
      </c>
      <c r="B30" s="79">
        <f>(ROUND(SUM(B28:B29),-1))</f>
        <v>250</v>
      </c>
    </row>
    <row r="31" ht="12.75">
      <c r="B31" s="17"/>
    </row>
    <row r="32" spans="1:2" ht="12.75">
      <c r="A32" s="8" t="s">
        <v>183</v>
      </c>
      <c r="B32" s="17"/>
    </row>
    <row r="33" spans="1:2" ht="12.75">
      <c r="A33" s="17" t="str">
        <f>'NORTH FORK'!A28</f>
        <v>GW CBCU</v>
      </c>
      <c r="B33" s="17">
        <f>+B7</f>
        <v>0</v>
      </c>
    </row>
    <row r="34" spans="1:2" ht="12.75">
      <c r="A34" s="17" t="str">
        <f>'NORTH FORK'!A29</f>
        <v>Total CBCU</v>
      </c>
      <c r="B34" s="79">
        <f>(ROUND(SUM(B33:B33),-1))</f>
        <v>0</v>
      </c>
    </row>
    <row r="35" spans="1:2" ht="12.75">
      <c r="A35" s="17" t="s">
        <v>83</v>
      </c>
      <c r="B35" s="17"/>
    </row>
    <row r="36" spans="1:2" ht="12.75">
      <c r="A36" s="8" t="s">
        <v>1</v>
      </c>
      <c r="B36" s="17"/>
    </row>
    <row r="37" spans="1:2" ht="12.75">
      <c r="A37" s="12" t="str">
        <f>'NORTH FORK'!A23</f>
        <v>SW CBCU - Irrigation - Non Federal Canals</v>
      </c>
      <c r="B37" s="17">
        <f>B15*CanalCUPercent</f>
        <v>310.36199999999997</v>
      </c>
    </row>
    <row r="38" spans="1:2" ht="12.75">
      <c r="A38" s="12" t="str">
        <f>'NORTH FORK'!A24</f>
        <v>SW CBCU - Irrigation - Small Pumps</v>
      </c>
      <c r="B38" s="79">
        <f>B16*PumperCUPercent</f>
        <v>0</v>
      </c>
    </row>
    <row r="39" spans="1:2" ht="12.75">
      <c r="A39" s="12" t="str">
        <f>'NORTH FORK'!A25</f>
        <v>SW CBCU - M&amp;I</v>
      </c>
      <c r="B39" s="17">
        <f>B17*MI_CUPercent</f>
        <v>0</v>
      </c>
    </row>
    <row r="40" spans="1:2" ht="12.75">
      <c r="A40" s="77" t="str">
        <f>'NORTH FORK'!A26</f>
        <v>Non-Federal Reservoir Evaporation</v>
      </c>
      <c r="B40" s="116">
        <f>B19</f>
        <v>0</v>
      </c>
    </row>
    <row r="41" spans="1:3" ht="12.75">
      <c r="A41" s="116" t="str">
        <f>'NORTH FORK'!A27</f>
        <v>SW CBCU</v>
      </c>
      <c r="B41" s="138">
        <f>B37+B38+B39+B40</f>
        <v>310.36199999999997</v>
      </c>
      <c r="C41" s="76"/>
    </row>
    <row r="42" spans="1:2" ht="12.75">
      <c r="A42" s="17" t="str">
        <f>'NORTH FORK'!A28</f>
        <v>GW CBCU</v>
      </c>
      <c r="B42" s="17">
        <f>+B8</f>
        <v>3099</v>
      </c>
    </row>
    <row r="43" spans="1:2" ht="12.75">
      <c r="A43" s="17" t="str">
        <f>'NORTH FORK'!A29</f>
        <v>Total CBCU</v>
      </c>
      <c r="B43" s="79">
        <f>(ROUND(SUM(B41:B42),-1))</f>
        <v>3410</v>
      </c>
    </row>
    <row r="44" spans="1:2" ht="12.75">
      <c r="A44" s="116" t="s">
        <v>83</v>
      </c>
      <c r="B44" s="17"/>
    </row>
    <row r="45" spans="1:2" ht="12.75">
      <c r="A45" s="5" t="s">
        <v>184</v>
      </c>
      <c r="B45" s="17"/>
    </row>
    <row r="46" spans="1:2" ht="12.75">
      <c r="A46" s="116" t="str">
        <f>'NORTH FORK'!A42</f>
        <v>Total SW CBCU</v>
      </c>
      <c r="B46" s="79">
        <f>+B41+B28</f>
        <v>310.36199999999997</v>
      </c>
    </row>
    <row r="47" spans="1:2" ht="12.75">
      <c r="A47" s="116" t="str">
        <f>'NORTH FORK'!A43</f>
        <v>Total GW CBCU</v>
      </c>
      <c r="B47" s="79">
        <f>+B29+B33+B42</f>
        <v>3346</v>
      </c>
    </row>
    <row r="48" spans="1:2" ht="12.75">
      <c r="A48" s="116" t="str">
        <f>'NORTH FORK'!A44</f>
        <v>Total Basin CBCU</v>
      </c>
      <c r="B48" s="79">
        <f>(ROUND(SUM(B46:B47),-1))</f>
        <v>3660</v>
      </c>
    </row>
    <row r="49" spans="1:2" ht="12.75">
      <c r="A49" s="116" t="s">
        <v>83</v>
      </c>
      <c r="B49" s="17"/>
    </row>
    <row r="50" spans="1:2" ht="15.75">
      <c r="A50" s="11" t="s">
        <v>10</v>
      </c>
      <c r="B50" s="17"/>
    </row>
    <row r="51" spans="1:2" ht="12.75">
      <c r="A51" s="139" t="str">
        <f>A11</f>
        <v>Buffalo Creek Near Haigler</v>
      </c>
      <c r="B51" s="79">
        <f>B11</f>
        <v>2998.78</v>
      </c>
    </row>
    <row r="52" spans="1:2" ht="12.75">
      <c r="A52" s="17" t="str">
        <f>'NORTH FORK'!A49</f>
        <v>Colorado CBCU</v>
      </c>
      <c r="B52" s="79">
        <f>+B30</f>
        <v>250</v>
      </c>
    </row>
    <row r="53" spans="1:2" ht="12.75">
      <c r="A53" s="2" t="str">
        <f>'NORTH FORK'!A50</f>
        <v>Kansas CBCU</v>
      </c>
      <c r="B53" s="32">
        <f>+B34</f>
        <v>0</v>
      </c>
    </row>
    <row r="54" spans="1:2" ht="12.75">
      <c r="A54" s="2" t="str">
        <f>'NORTH FORK'!A51</f>
        <v>Nebraska CBCU</v>
      </c>
      <c r="B54" s="32">
        <f>+B43</f>
        <v>3410</v>
      </c>
    </row>
    <row r="55" spans="1:3" ht="12.75">
      <c r="A55" s="2" t="str">
        <f>'NORTH FORK'!A52</f>
        <v>Imported Water</v>
      </c>
      <c r="B55" s="17">
        <f>+B5</f>
        <v>0</v>
      </c>
      <c r="C55" s="76"/>
    </row>
    <row r="56" spans="1:2" ht="12.75">
      <c r="A56" s="2" t="str">
        <f>'NORTH FORK'!A53</f>
        <v>Virgin Water Supply</v>
      </c>
      <c r="B56" s="4">
        <f>ROUND(SUM(B51:B54)-B55,-1)</f>
        <v>6660</v>
      </c>
    </row>
    <row r="57" spans="1:2" ht="12.75">
      <c r="A57" s="2" t="str">
        <f>'NORTH FORK'!A54</f>
        <v>Adjustment For Flood Flows</v>
      </c>
      <c r="B57" s="2">
        <f>B20</f>
        <v>0</v>
      </c>
    </row>
    <row r="58" spans="1:2" ht="12.75">
      <c r="A58" s="2" t="str">
        <f>'NORTH FORK'!A55</f>
        <v>Computed Water Supply</v>
      </c>
      <c r="B58" s="4">
        <f>ROUND(+B56-B57,-1)</f>
        <v>6660</v>
      </c>
    </row>
    <row r="59" spans="1:2" ht="12.75">
      <c r="A59" s="9" t="s">
        <v>83</v>
      </c>
      <c r="B59" s="2"/>
    </row>
    <row r="60" spans="1:2" ht="15.75">
      <c r="A60" s="11" t="s">
        <v>12</v>
      </c>
      <c r="B60" s="13"/>
    </row>
    <row r="61" spans="1:2" ht="12.75">
      <c r="A61" s="9" t="str">
        <f>'NORTH FORK'!A58</f>
        <v>Colorado Percent Of Allocation</v>
      </c>
      <c r="B61" s="78">
        <f>'T2'!D5</f>
        <v>0</v>
      </c>
    </row>
    <row r="62" spans="1:2" ht="12.75">
      <c r="A62" s="9" t="str">
        <f>'NORTH FORK'!A59</f>
        <v>Colorado Allocation</v>
      </c>
      <c r="B62" s="32">
        <f>ROUND(+B58*B61,-1)</f>
        <v>0</v>
      </c>
    </row>
    <row r="63" spans="1:2" ht="12.75">
      <c r="A63" s="9" t="str">
        <f>'NORTH FORK'!A60</f>
        <v>Kansas Percent Of Allocation</v>
      </c>
      <c r="B63" s="78">
        <f>'T2'!F5</f>
        <v>0</v>
      </c>
    </row>
    <row r="64" spans="1:2" ht="12.75">
      <c r="A64" s="9" t="str">
        <f>'NORTH FORK'!A61</f>
        <v>Kansas Allocation</v>
      </c>
      <c r="B64" s="32">
        <f>ROUND(B58*B63,-1)</f>
        <v>0</v>
      </c>
    </row>
    <row r="65" spans="1:2" ht="12.75">
      <c r="A65" s="9" t="str">
        <f>'NORTH FORK'!A62</f>
        <v>Nebraska Percent Of Allocation</v>
      </c>
      <c r="B65" s="78">
        <f>'T2'!H5</f>
        <v>0.33</v>
      </c>
    </row>
    <row r="66" spans="1:2" ht="12.75">
      <c r="A66" s="9" t="str">
        <f>'NORTH FORK'!A63</f>
        <v>Nebraska Allocation</v>
      </c>
      <c r="B66" s="32">
        <f>ROUND(B58*B65,-1)</f>
        <v>2200</v>
      </c>
    </row>
    <row r="67" spans="1:2" ht="12.75">
      <c r="A67" s="9" t="str">
        <f>'NORTH FORK'!A64</f>
        <v>Total Basin Allocation</v>
      </c>
      <c r="B67" s="32">
        <f>+B62+B64+B66</f>
        <v>2200</v>
      </c>
    </row>
    <row r="68" spans="1:2" ht="12.75">
      <c r="A68" s="9" t="str">
        <f>'NORTH FORK'!A65</f>
        <v>Percent Of Supply Not Allocated</v>
      </c>
      <c r="B68" s="78">
        <f>'T2'!J5</f>
        <v>0.67</v>
      </c>
    </row>
    <row r="69" spans="1:2" ht="12.75">
      <c r="A69" s="9" t="str">
        <f>'NORTH FORK'!A66</f>
        <v>Quantity Of Unallocated Supply</v>
      </c>
      <c r="B69" s="32">
        <f>+B58-B62-B64-B66</f>
        <v>4460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2001</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46</v>
      </c>
      <c r="C6" s="1"/>
    </row>
    <row r="7" spans="1:2" ht="12.75">
      <c r="A7" s="55" t="str">
        <f>+INPUT!B14</f>
        <v>GW CBCU Kansas</v>
      </c>
      <c r="B7" s="55">
        <f>+INPUT!C14</f>
        <v>0</v>
      </c>
    </row>
    <row r="8" spans="1:2" ht="12" customHeight="1">
      <c r="A8" s="55" t="str">
        <f>+INPUT!B15</f>
        <v>GW CBCU Nebraska</v>
      </c>
      <c r="B8" s="55">
        <f>+INPUT!C15</f>
        <v>3216</v>
      </c>
    </row>
    <row r="9" spans="1:2" ht="12" customHeight="1">
      <c r="A9" s="9" t="s">
        <v>83</v>
      </c>
      <c r="B9" s="9"/>
    </row>
    <row r="10" spans="1:2" ht="12.75">
      <c r="A10" s="5" t="s">
        <v>182</v>
      </c>
      <c r="B10" s="2"/>
    </row>
    <row r="11" spans="1:2" ht="12.75">
      <c r="A11" s="55" t="str">
        <f>+INPUT!B186</f>
        <v>Rock Creek At Parks</v>
      </c>
      <c r="B11" s="55">
        <f>+INPUT!C186</f>
        <v>5658.13</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46</v>
      </c>
    </row>
    <row r="21" spans="1:2" ht="12.75">
      <c r="A21" s="2" t="str">
        <f>'NORTH FORK'!A29</f>
        <v>Total CBCU</v>
      </c>
      <c r="B21" s="4">
        <f>(ROUND(SUM(B20:B20),-1))</f>
        <v>50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9" t="str">
        <f>A12</f>
        <v>SW Diversions - Irrigation - Non-Federal Canals - Nebraska</v>
      </c>
      <c r="B28" s="79">
        <f>B12*CanalCUPercent</f>
        <v>0</v>
      </c>
    </row>
    <row r="29" spans="1:2" ht="12.75">
      <c r="A29" s="17" t="str">
        <f>'NORTH FORK'!A24</f>
        <v>SW CBCU - Irrigation - Small Pumps</v>
      </c>
      <c r="B29" s="79">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9">
        <f>B28+B29+B30+B31</f>
        <v>0</v>
      </c>
      <c r="C32" s="76"/>
    </row>
    <row r="33" spans="1:2" ht="12.75">
      <c r="A33" s="17" t="str">
        <f>'NORTH FORK'!A28</f>
        <v>GW CBCU</v>
      </c>
      <c r="B33" s="17">
        <f>+B8</f>
        <v>3216</v>
      </c>
    </row>
    <row r="34" spans="1:2" ht="12.75">
      <c r="A34" s="17" t="str">
        <f>'NORTH FORK'!A29</f>
        <v>Total CBCU</v>
      </c>
      <c r="B34" s="79">
        <f>(ROUND(SUM(B32:B33),-1))</f>
        <v>3220</v>
      </c>
    </row>
    <row r="35" spans="1:2" ht="12.75">
      <c r="A35" s="116" t="s">
        <v>83</v>
      </c>
      <c r="B35" s="17"/>
    </row>
    <row r="36" spans="1:2" ht="12.75">
      <c r="A36" s="5" t="s">
        <v>184</v>
      </c>
      <c r="B36" s="17"/>
    </row>
    <row r="37" spans="1:2" ht="12.75">
      <c r="A37" s="116" t="str">
        <f>'NORTH FORK'!A42</f>
        <v>Total SW CBCU</v>
      </c>
      <c r="B37" s="79">
        <f>+B32</f>
        <v>0</v>
      </c>
    </row>
    <row r="38" spans="1:2" ht="12.75">
      <c r="A38" s="116" t="str">
        <f>'NORTH FORK'!A43</f>
        <v>Total GW CBCU</v>
      </c>
      <c r="B38" s="79">
        <f>+B20+B24+B33</f>
        <v>3262</v>
      </c>
    </row>
    <row r="39" spans="1:2" ht="12.75">
      <c r="A39" s="116" t="str">
        <f>'NORTH FORK'!A44</f>
        <v>Total Basin CBCU</v>
      </c>
      <c r="B39" s="79">
        <f>(ROUND(SUM(B37:B38),-1))</f>
        <v>3260</v>
      </c>
    </row>
    <row r="40" spans="1:2" ht="12.75">
      <c r="A40" s="116" t="s">
        <v>83</v>
      </c>
      <c r="B40" s="17"/>
    </row>
    <row r="41" spans="1:2" ht="15.75">
      <c r="A41" s="11" t="s">
        <v>10</v>
      </c>
      <c r="B41" s="17"/>
    </row>
    <row r="42" spans="1:2" ht="12.75">
      <c r="A42" s="17" t="str">
        <f>A11</f>
        <v>Rock Creek At Parks</v>
      </c>
      <c r="B42" s="79">
        <f>B11</f>
        <v>5658.13</v>
      </c>
    </row>
    <row r="43" spans="1:2" ht="12.75">
      <c r="A43" s="17" t="str">
        <f>'NORTH FORK'!A49</f>
        <v>Colorado CBCU</v>
      </c>
      <c r="B43" s="79">
        <f>+B21</f>
        <v>50</v>
      </c>
    </row>
    <row r="44" spans="1:2" ht="12.75">
      <c r="A44" s="17" t="str">
        <f>'NORTH FORK'!A50</f>
        <v>Kansas CBCU</v>
      </c>
      <c r="B44" s="79">
        <f>+B25</f>
        <v>0</v>
      </c>
    </row>
    <row r="45" spans="1:2" ht="12.75">
      <c r="A45" s="17" t="str">
        <f>'NORTH FORK'!A51</f>
        <v>Nebraska CBCU</v>
      </c>
      <c r="B45" s="79">
        <f>+B34</f>
        <v>3220</v>
      </c>
    </row>
    <row r="46" spans="1:3" ht="12.75">
      <c r="A46" s="17" t="str">
        <f>'NORTH FORK'!A52</f>
        <v>Imported Water</v>
      </c>
      <c r="B46" s="17">
        <f>B5</f>
        <v>0</v>
      </c>
      <c r="C46" s="76"/>
    </row>
    <row r="47" spans="1:2" ht="12.75">
      <c r="A47" s="17" t="str">
        <f>'NORTH FORK'!A53</f>
        <v>Virgin Water Supply</v>
      </c>
      <c r="B47" s="79">
        <f>ROUND(SUM(B42:B45)-B46,-1)</f>
        <v>8930</v>
      </c>
    </row>
    <row r="48" spans="1:2" ht="12.75">
      <c r="A48" s="17" t="str">
        <f>'NORTH FORK'!A54</f>
        <v>Adjustment For Flood Flows</v>
      </c>
      <c r="B48" s="17">
        <f>B16</f>
        <v>0</v>
      </c>
    </row>
    <row r="49" spans="1:2" ht="12.75">
      <c r="A49" s="17" t="str">
        <f>'NORTH FORK'!A55</f>
        <v>Computed Water Supply</v>
      </c>
      <c r="B49" s="79">
        <f>ROUND(+B47-B48,-1)</f>
        <v>8930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3570</v>
      </c>
    </row>
    <row r="58" spans="1:2" ht="12.75">
      <c r="A58" s="2" t="str">
        <f>'NORTH FORK'!A64</f>
        <v>Total Basin Allocation</v>
      </c>
      <c r="B58" s="4">
        <f>+B53+B55+B57</f>
        <v>3570</v>
      </c>
    </row>
    <row r="59" spans="1:2" ht="12.75">
      <c r="A59" s="2" t="str">
        <f>'NORTH FORK'!A65</f>
        <v>Percent Of Supply Not Allocated</v>
      </c>
      <c r="B59" s="16">
        <f>'T2'!J6</f>
        <v>0.6</v>
      </c>
    </row>
    <row r="60" spans="1:2" ht="12.75">
      <c r="A60" s="2" t="str">
        <f>'NORTH FORK'!A66</f>
        <v>Quantity Of Unallocated Supply</v>
      </c>
      <c r="B60" s="4">
        <f>+B49-B53-B55-B57</f>
        <v>5360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2001</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10964</v>
      </c>
    </row>
    <row r="7" spans="1:2" ht="12.75">
      <c r="A7" s="55" t="str">
        <f>+INPUT!B17</f>
        <v>GW CBCU Kansas</v>
      </c>
      <c r="B7" s="55">
        <f>+INPUT!C17</f>
        <v>7450</v>
      </c>
    </row>
    <row r="8" spans="1:2" ht="12" customHeight="1">
      <c r="A8" s="55" t="str">
        <f>+INPUT!B18</f>
        <v>GW CBCU Nebraska</v>
      </c>
      <c r="B8" s="55">
        <f>+INPUT!C18</f>
        <v>641</v>
      </c>
    </row>
    <row r="9" spans="1:2" ht="12" customHeight="1">
      <c r="A9" s="9" t="s">
        <v>83</v>
      </c>
      <c r="B9" s="9"/>
    </row>
    <row r="10" spans="1:2" ht="12.75">
      <c r="A10" s="5" t="s">
        <v>182</v>
      </c>
      <c r="B10" s="2"/>
    </row>
    <row r="11" spans="1:2" ht="12.75">
      <c r="A11" s="55" t="str">
        <f>+INPUT!B187</f>
        <v>South Fork Republican River Near Benkelman</v>
      </c>
      <c r="B11" s="61">
        <f>+INPUT!C187</f>
        <v>3097.08</v>
      </c>
    </row>
    <row r="12" spans="1:2" ht="12.75">
      <c r="A12" s="55" t="str">
        <f>+INPUT!B215</f>
        <v>Bonny Reservoir Evaporation</v>
      </c>
      <c r="B12" s="55">
        <f>+INPUT!C215</f>
        <v>3972.1</v>
      </c>
    </row>
    <row r="13" spans="1:2" ht="12.75">
      <c r="A13" s="55" t="str">
        <f>+INPUT!B216</f>
        <v>Bonny Reservoir Change In Storage</v>
      </c>
      <c r="B13" s="55">
        <f>+INPUT!C216</f>
        <v>-3200</v>
      </c>
    </row>
    <row r="14" spans="1:2" ht="12.75">
      <c r="A14" s="55" t="str">
        <f>+INPUT!B235</f>
        <v>Hale Ditch Diversions</v>
      </c>
      <c r="B14" s="55">
        <f>+INPUT!C235</f>
        <v>1092</v>
      </c>
    </row>
    <row r="15" spans="1:2" ht="12.75">
      <c r="A15" s="55" t="str">
        <f>+INPUT!B83</f>
        <v>SW Diversions - Irrigation -Non-Federal Canals- Colorado</v>
      </c>
      <c r="B15" s="55">
        <f>+INPUT!C83</f>
        <v>542</v>
      </c>
    </row>
    <row r="16" spans="1:2" ht="12.75">
      <c r="A16" s="122" t="str">
        <f>+INPUT!B84</f>
        <v>SW Diversions - Irrigation - Small Pumps - Colorado</v>
      </c>
      <c r="B16" s="122">
        <f>+INPUT!C84</f>
        <v>0</v>
      </c>
    </row>
    <row r="17" spans="1:2" ht="12.75">
      <c r="A17" s="122" t="str">
        <f>+INPUT!B85</f>
        <v>SW Diversions - M&amp;I - Colorado</v>
      </c>
      <c r="B17" s="122">
        <f>+INPUT!C85</f>
        <v>0</v>
      </c>
    </row>
    <row r="18" spans="1:2" ht="12.75">
      <c r="A18" s="122" t="str">
        <f>+INPUT!B86</f>
        <v>SW Diversions - Irrigation - Non-Federal Canals- Kansas</v>
      </c>
      <c r="B18" s="122">
        <f>+INPUT!C86</f>
        <v>0</v>
      </c>
    </row>
    <row r="19" spans="1:2" ht="12.75">
      <c r="A19" s="122" t="str">
        <f>+INPUT!B87</f>
        <v>SW Diversions - Irrigation - Small Pumps - Kansas</v>
      </c>
      <c r="B19" s="122">
        <f>+INPUT!C87</f>
        <v>65.3</v>
      </c>
    </row>
    <row r="20" spans="1:2" ht="12.75">
      <c r="A20" s="122" t="str">
        <f>+INPUT!B88</f>
        <v>SW Diversions - M&amp;I - Kansas</v>
      </c>
      <c r="B20" s="122">
        <f>+INPUT!C88</f>
        <v>0</v>
      </c>
    </row>
    <row r="21" spans="1:2" ht="12.75">
      <c r="A21" s="122" t="str">
        <f>+INPUT!B89</f>
        <v>SW Diversions - Irrigation - Non-Federal Canals - Nebraska</v>
      </c>
      <c r="B21" s="122">
        <f>+INPUT!C89</f>
        <v>0</v>
      </c>
    </row>
    <row r="22" spans="1:2" ht="12.75">
      <c r="A22" s="122" t="str">
        <f>+INPUT!B90</f>
        <v>SW Diversions - Irrigation - Small Pumps - Nebraska</v>
      </c>
      <c r="B22" s="122">
        <f>+INPUT!C90</f>
        <v>0</v>
      </c>
    </row>
    <row r="23" spans="1:2" ht="12.75">
      <c r="A23" s="122" t="str">
        <f>INPUT!B91</f>
        <v>SW Diversions - M&amp;I - Nebraska</v>
      </c>
      <c r="B23" s="122">
        <f>INPUT!C91</f>
        <v>0</v>
      </c>
    </row>
    <row r="24" spans="1:2" ht="12.75">
      <c r="A24" s="122" t="str">
        <f>+INPUT!B161</f>
        <v>Non-Federal Reservoir Evaporation - Colorado</v>
      </c>
      <c r="B24" s="122">
        <f>+INPUT!C161</f>
        <v>0</v>
      </c>
    </row>
    <row r="25" spans="1:2" ht="12.75">
      <c r="A25" s="122" t="str">
        <f>+INPUT!B162</f>
        <v>Non-Federal Reservoir Evaporation - Kansas</v>
      </c>
      <c r="B25" s="122">
        <f>+INPUT!C162</f>
        <v>0</v>
      </c>
    </row>
    <row r="26" spans="1:2" ht="12.75">
      <c r="A26" s="122" t="str">
        <f>+INPUT!B163</f>
        <v>Non-Federal Reservoir Evaporation - Nebraska</v>
      </c>
      <c r="B26" s="122">
        <f>+INPUT!C163</f>
        <v>0</v>
      </c>
    </row>
    <row r="27" spans="1:2" ht="12.75">
      <c r="A27" s="122" t="str">
        <f>+INPUT!B204</f>
        <v>Southfork Flood Flow</v>
      </c>
      <c r="B27" s="122">
        <f>+INPUT!C204</f>
        <v>0</v>
      </c>
    </row>
    <row r="28" spans="1:2" ht="12.75">
      <c r="A28" s="137" t="s">
        <v>83</v>
      </c>
      <c r="B28" s="17"/>
    </row>
    <row r="29" spans="1:2" ht="15.75">
      <c r="A29" s="10" t="s">
        <v>265</v>
      </c>
      <c r="B29" s="17"/>
    </row>
    <row r="30" spans="1:2" ht="12.75">
      <c r="A30" s="8" t="s">
        <v>0</v>
      </c>
      <c r="B30" s="17"/>
    </row>
    <row r="31" spans="1:2" ht="12.75">
      <c r="A31" s="12" t="s">
        <v>257</v>
      </c>
      <c r="B31" s="17">
        <f>+B14*CanalCUPercent</f>
        <v>655.1999999999999</v>
      </c>
    </row>
    <row r="32" spans="1:2" ht="12.75">
      <c r="A32" s="17" t="str">
        <f>'NORTH FORK'!A23</f>
        <v>SW CBCU - Irrigation - Non Federal Canals</v>
      </c>
      <c r="B32" s="140">
        <f>B15*CanalCUPercent</f>
        <v>325.2</v>
      </c>
    </row>
    <row r="33" spans="1:2" ht="12.75">
      <c r="A33" s="17" t="str">
        <f>'NORTH FORK'!A24</f>
        <v>SW CBCU - Irrigation - Small Pumps</v>
      </c>
      <c r="B33" s="140">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6" t="str">
        <f>A12</f>
        <v>Bonny Reservoir Evaporation</v>
      </c>
      <c r="B36" s="17">
        <f>+B12</f>
        <v>3972.1</v>
      </c>
    </row>
    <row r="37" spans="1:3" ht="12.75">
      <c r="A37" s="17" t="str">
        <f>'NORTH FORK'!A27</f>
        <v>SW CBCU</v>
      </c>
      <c r="B37" s="79">
        <f>B31+B32+B33+B34+B35+B36</f>
        <v>4952.5</v>
      </c>
      <c r="C37" s="76"/>
    </row>
    <row r="38" spans="1:2" ht="12.75">
      <c r="A38" s="17" t="str">
        <f>'NORTH FORK'!A28</f>
        <v>GW CBCU</v>
      </c>
      <c r="B38" s="17">
        <f>+B6</f>
        <v>10964</v>
      </c>
    </row>
    <row r="39" spans="1:2" ht="12.75">
      <c r="A39" s="17" t="str">
        <f>'NORTH FORK'!A29</f>
        <v>Total CBCU</v>
      </c>
      <c r="B39" s="79">
        <f>(ROUND(SUM(B37:B38),-1))</f>
        <v>15920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48.974999999999994</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9">
        <f>B42+B43+B44+B45</f>
        <v>48.974999999999994</v>
      </c>
      <c r="C46" s="76"/>
    </row>
    <row r="47" spans="1:2" ht="12.75">
      <c r="A47" s="2" t="str">
        <f>'NORTH FORK'!A28</f>
        <v>GW CBCU</v>
      </c>
      <c r="B47" s="2">
        <f>+B7</f>
        <v>7450</v>
      </c>
    </row>
    <row r="48" spans="1:2" ht="12.75">
      <c r="A48" s="2" t="str">
        <f>'NORTH FORK'!A29</f>
        <v>Total CBCU</v>
      </c>
      <c r="B48" s="4">
        <f>(ROUND(SUM(B46:B47),-1))</f>
        <v>7500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0">
        <f>B51+B52+B53+B54</f>
        <v>0</v>
      </c>
      <c r="C55" s="76"/>
    </row>
    <row r="56" spans="1:2" ht="12.75">
      <c r="A56" s="2" t="str">
        <f>'NORTH FORK'!A28</f>
        <v>GW CBCU</v>
      </c>
      <c r="B56" s="2">
        <f>+B8</f>
        <v>641</v>
      </c>
    </row>
    <row r="57" spans="1:2" ht="12.75">
      <c r="A57" s="2" t="str">
        <f>'NORTH FORK'!A29</f>
        <v>Total CBCU</v>
      </c>
      <c r="B57" s="4">
        <f>(ROUND(SUM(B55:B56),-1))</f>
        <v>640</v>
      </c>
    </row>
    <row r="58" spans="1:2" ht="12.75">
      <c r="A58" s="9" t="s">
        <v>83</v>
      </c>
      <c r="B58" s="2"/>
    </row>
    <row r="59" spans="1:2" ht="12.75">
      <c r="A59" s="5" t="s">
        <v>184</v>
      </c>
      <c r="B59" s="2"/>
    </row>
    <row r="60" spans="1:2" ht="12.75">
      <c r="A60" s="9" t="str">
        <f>'NORTH FORK'!A42</f>
        <v>Total SW CBCU</v>
      </c>
      <c r="B60" s="4">
        <f>+B37+B46+B55</f>
        <v>5001.475</v>
      </c>
    </row>
    <row r="61" spans="1:2" ht="12.75">
      <c r="A61" s="9" t="str">
        <f>'NORTH FORK'!A43</f>
        <v>Total GW CBCU</v>
      </c>
      <c r="B61" s="4">
        <f>+B38+B47+B56</f>
        <v>19055</v>
      </c>
    </row>
    <row r="62" spans="1:2" ht="12.75">
      <c r="A62" s="9" t="str">
        <f>'NORTH FORK'!A44</f>
        <v>Total Basin CBCU</v>
      </c>
      <c r="B62" s="4">
        <f>(ROUND(SUM(B60:B61),-1))</f>
        <v>24060</v>
      </c>
    </row>
    <row r="63" spans="1:2" ht="12.75">
      <c r="A63" s="9" t="s">
        <v>83</v>
      </c>
      <c r="B63" s="2"/>
    </row>
    <row r="64" spans="1:2" ht="15.75">
      <c r="A64" s="11" t="s">
        <v>10</v>
      </c>
      <c r="B64" s="2"/>
    </row>
    <row r="65" spans="1:2" ht="12.75">
      <c r="A65" s="2" t="str">
        <f>A11</f>
        <v>South Fork Republican River Near Benkelman</v>
      </c>
      <c r="B65" s="4">
        <f>B11</f>
        <v>3097.08</v>
      </c>
    </row>
    <row r="66" spans="1:2" ht="12.75">
      <c r="A66" s="2" t="str">
        <f>'NORTH FORK'!A49</f>
        <v>Colorado CBCU</v>
      </c>
      <c r="B66" s="4">
        <f>+B39</f>
        <v>15920</v>
      </c>
    </row>
    <row r="67" spans="1:2" ht="12.75">
      <c r="A67" s="2" t="str">
        <f>'NORTH FORK'!A50</f>
        <v>Kansas CBCU</v>
      </c>
      <c r="B67" s="4">
        <f>+B48</f>
        <v>7500</v>
      </c>
    </row>
    <row r="68" spans="1:2" ht="12.75">
      <c r="A68" s="2" t="str">
        <f>'NORTH FORK'!A51</f>
        <v>Nebraska CBCU</v>
      </c>
      <c r="B68" s="4">
        <f>+B57</f>
        <v>640</v>
      </c>
    </row>
    <row r="69" spans="1:2" ht="12.75">
      <c r="A69" s="2" t="str">
        <f>A13</f>
        <v>Bonny Reservoir Change In Storage</v>
      </c>
      <c r="B69" s="2">
        <f>+B13</f>
        <v>-3200</v>
      </c>
    </row>
    <row r="70" spans="1:3" ht="12.75">
      <c r="A70" s="2" t="str">
        <f>'NORTH FORK'!A52</f>
        <v>Imported Water</v>
      </c>
      <c r="B70" s="17">
        <f>+B5</f>
        <v>0</v>
      </c>
      <c r="C70" s="76"/>
    </row>
    <row r="71" spans="1:2" ht="12.75">
      <c r="A71" s="2" t="str">
        <f>'NORTH FORK'!A53</f>
        <v>Virgin Water Supply</v>
      </c>
      <c r="B71" s="4">
        <f>ROUND(SUM(B65:B69)-B70,-1)</f>
        <v>23960</v>
      </c>
    </row>
    <row r="72" spans="1:2" ht="12.75">
      <c r="A72" s="2" t="str">
        <f>'NORTH FORK'!A54</f>
        <v>Adjustment For Flood Flows</v>
      </c>
      <c r="B72" s="2">
        <f>B27</f>
        <v>0</v>
      </c>
    </row>
    <row r="73" spans="1:2" ht="12.75">
      <c r="A73" s="2" t="str">
        <f>'NORTH FORK'!A55</f>
        <v>Computed Water Supply</v>
      </c>
      <c r="B73" s="4">
        <f>ROUND(+B71-B72-B69,-1)</f>
        <v>27160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12060</v>
      </c>
    </row>
    <row r="78" spans="1:2" ht="12.75">
      <c r="A78" s="2" t="str">
        <f>'NORTH FORK'!A60</f>
        <v>Kansas Percent Of Allocation</v>
      </c>
      <c r="B78" s="16">
        <f>'T2'!F7</f>
        <v>0.402</v>
      </c>
    </row>
    <row r="79" spans="1:2" ht="12.75">
      <c r="A79" s="2" t="str">
        <f>'NORTH FORK'!A61</f>
        <v>Kansas Allocation</v>
      </c>
      <c r="B79" s="4">
        <f>ROUND(B73*B78,-1)</f>
        <v>10920</v>
      </c>
    </row>
    <row r="80" spans="1:2" ht="12.75">
      <c r="A80" s="2" t="str">
        <f>'NORTH FORK'!A62</f>
        <v>Nebraska Percent Of Allocation</v>
      </c>
      <c r="B80" s="16">
        <f>'T2'!H7</f>
        <v>0.014</v>
      </c>
    </row>
    <row r="81" spans="1:2" ht="12.75">
      <c r="A81" s="2" t="str">
        <f>'NORTH FORK'!A63</f>
        <v>Nebraska Allocation</v>
      </c>
      <c r="B81" s="4">
        <f>ROUND(B73*B80,-1)</f>
        <v>380</v>
      </c>
    </row>
    <row r="82" spans="1:2" ht="12.75">
      <c r="A82" s="2" t="str">
        <f>'NORTH FORK'!A64</f>
        <v>Total Basin Allocation</v>
      </c>
      <c r="B82" s="4">
        <f>+B77+B79+B81</f>
        <v>23360</v>
      </c>
    </row>
    <row r="83" spans="1:2" ht="12.75">
      <c r="A83" s="2" t="str">
        <f>'NORTH FORK'!A65</f>
        <v>Percent Of Supply Not Allocated</v>
      </c>
      <c r="B83" s="16">
        <f>'T2'!J7</f>
        <v>0.14</v>
      </c>
    </row>
    <row r="84" spans="1:2" ht="12.75">
      <c r="A84" s="2" t="str">
        <f>'NORTH FORK'!A66</f>
        <v>Quantity Of Unallocated Supply</v>
      </c>
      <c r="B84" s="4">
        <f>+B73-B77-B79-B81</f>
        <v>3800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2001</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569</v>
      </c>
    </row>
    <row r="7" spans="1:2" ht="12.75">
      <c r="A7" s="55" t="str">
        <f>+INPUT!B20</f>
        <v>GW CBCU Kansas</v>
      </c>
      <c r="B7" s="55">
        <f>+INPUT!C20</f>
        <v>0</v>
      </c>
    </row>
    <row r="8" spans="1:2" ht="12" customHeight="1">
      <c r="A8" s="55" t="str">
        <f>+INPUT!B21</f>
        <v>GW CBCU Nebraska</v>
      </c>
      <c r="B8" s="55">
        <f>+INPUT!C21</f>
        <v>82283</v>
      </c>
    </row>
    <row r="9" spans="1:2" ht="12" customHeight="1">
      <c r="A9" s="9" t="s">
        <v>83</v>
      </c>
      <c r="B9" s="9"/>
    </row>
    <row r="10" spans="1:2" ht="12.75">
      <c r="A10" s="5" t="s">
        <v>215</v>
      </c>
      <c r="B10" s="2"/>
    </row>
    <row r="11" spans="1:2" ht="12.75">
      <c r="A11" s="60" t="str">
        <f>+INPUT!B240</f>
        <v>Culbertson Canal % Return Flow</v>
      </c>
      <c r="B11" s="60">
        <f>+INPUT!C240</f>
        <v>0.594735496840896</v>
      </c>
    </row>
    <row r="12" spans="1:2" ht="12.75">
      <c r="A12" s="60" t="str">
        <f>+INPUT!B241</f>
        <v>Culbertson Canal Extension % Return Flow</v>
      </c>
      <c r="B12" s="60">
        <f>+INPUT!C241</f>
        <v>0.6085305719921104</v>
      </c>
    </row>
    <row r="13" spans="1:2" ht="12.75">
      <c r="A13" s="2" t="s">
        <v>83</v>
      </c>
      <c r="B13" s="2"/>
    </row>
    <row r="14" spans="1:2" ht="12.75">
      <c r="A14" s="5" t="s">
        <v>182</v>
      </c>
      <c r="B14" s="2"/>
    </row>
    <row r="15" spans="1:2" ht="12.75">
      <c r="A15" s="55" t="str">
        <f>+INPUT!B188</f>
        <v>Frenchman Creek At Culbertson</v>
      </c>
      <c r="B15" s="55">
        <f>+INPUT!C188</f>
        <v>20877.69</v>
      </c>
    </row>
    <row r="16" spans="1:2" ht="12.75">
      <c r="A16" s="55" t="str">
        <f>+INPUT!B217</f>
        <v>Enders Reservoir Evaporation</v>
      </c>
      <c r="B16" s="55">
        <f>+INPUT!C217</f>
        <v>1448.3</v>
      </c>
    </row>
    <row r="17" spans="1:2" ht="12.75">
      <c r="A17" s="55" t="str">
        <f>+INPUT!B218</f>
        <v>Enders Reservoir Change In Storage</v>
      </c>
      <c r="B17" s="55">
        <f>+INPUT!C218</f>
        <v>-1200</v>
      </c>
    </row>
    <row r="18" spans="1:2" ht="12.75">
      <c r="A18" s="55" t="str">
        <f>+INPUT!B236</f>
        <v>Champion Canal Diversions</v>
      </c>
      <c r="B18" s="55">
        <f>+INPUT!C236</f>
        <v>0</v>
      </c>
    </row>
    <row r="19" spans="1:2" ht="12.75">
      <c r="A19" s="55" t="str">
        <f>+INPUT!B237</f>
        <v>Riverside Canal Diversions</v>
      </c>
      <c r="B19" s="55">
        <f>+INPUT!C237</f>
        <v>3042</v>
      </c>
    </row>
    <row r="20" spans="1:2" ht="12.75">
      <c r="A20" s="55" t="str">
        <f>+INPUT!B238</f>
        <v>Culbertson Canal Diversions</v>
      </c>
      <c r="B20" s="55">
        <f>+INPUT!C238</f>
        <v>6964</v>
      </c>
    </row>
    <row r="21" spans="1:2" ht="12.75">
      <c r="A21" s="55" t="str">
        <f>+INPUT!B239</f>
        <v>Culbertson Canal Extension Diversions</v>
      </c>
      <c r="B21" s="55">
        <f>+INPUT!C239</f>
        <v>7098</v>
      </c>
    </row>
    <row r="22" spans="1:2" ht="12.75">
      <c r="A22" s="122" t="str">
        <f>+INPUT!B92</f>
        <v>SW Diversions - Irrigation - Non-Federal Canals - Nebraska</v>
      </c>
      <c r="B22" s="122">
        <f>+INPUT!C92</f>
        <v>0</v>
      </c>
    </row>
    <row r="23" spans="1:2" ht="12.75">
      <c r="A23" s="122" t="str">
        <f>+INPUT!B93</f>
        <v>SW Diversions - Irrigation - Small Pumps - Nebraska</v>
      </c>
      <c r="B23" s="122">
        <f>+INPUT!C93</f>
        <v>81.1</v>
      </c>
    </row>
    <row r="24" spans="1:2" ht="12.75">
      <c r="A24" s="122" t="str">
        <f>+INPUT!B94</f>
        <v>SW Diversions - M&amp;I - Nebraska</v>
      </c>
      <c r="B24" s="122">
        <f>+INPUT!C94</f>
        <v>0</v>
      </c>
    </row>
    <row r="25" spans="1:2" ht="12.75">
      <c r="A25" s="122" t="str">
        <f>+INPUT!B164</f>
        <v>Non-Federal Reservoir Evaporation - Nebraska</v>
      </c>
      <c r="B25" s="122">
        <f>+INPUT!C164</f>
        <v>0</v>
      </c>
    </row>
    <row r="26" spans="1:2" ht="12.75">
      <c r="A26" s="122" t="str">
        <f>+INPUT!B205</f>
        <v>Frenchman Flood Flow</v>
      </c>
      <c r="B26" s="122">
        <f>+INPUT!C205</f>
        <v>0</v>
      </c>
    </row>
    <row r="27" spans="1:2" ht="12.75">
      <c r="A27" s="137" t="s">
        <v>83</v>
      </c>
      <c r="B27" s="17"/>
    </row>
    <row r="28" spans="1:2" ht="15.75">
      <c r="A28" s="10" t="s">
        <v>265</v>
      </c>
      <c r="B28" s="17"/>
    </row>
    <row r="29" spans="1:2" ht="12.75">
      <c r="A29" s="8" t="s">
        <v>0</v>
      </c>
      <c r="B29" s="17"/>
    </row>
    <row r="30" spans="1:2" ht="12.75">
      <c r="A30" s="17" t="str">
        <f>'NORTH FORK'!A28</f>
        <v>GW CBCU</v>
      </c>
      <c r="B30" s="17">
        <f>+B6</f>
        <v>569</v>
      </c>
    </row>
    <row r="31" spans="1:2" ht="12.75">
      <c r="A31" s="17" t="str">
        <f>'NORTH FORK'!A29</f>
        <v>Total CBCU</v>
      </c>
      <c r="B31" s="79">
        <f>(ROUND(SUM(B30:B30),-1))</f>
        <v>570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9">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1825.2</v>
      </c>
    </row>
    <row r="40" spans="1:2" ht="12.75">
      <c r="A40" s="17" t="str">
        <f>(LEFT(A20,16))&amp;" "&amp;"CBCU"</f>
        <v>Culbertson Canal CBCU</v>
      </c>
      <c r="B40" s="17">
        <f>+B20*(1-B11)</f>
        <v>2822.262</v>
      </c>
    </row>
    <row r="41" spans="1:2" ht="12.75">
      <c r="A41" s="17" t="str">
        <f>(LEFT(A21,27))&amp;" "&amp;"CBCU"</f>
        <v>Culbertson Canal Extension  CBCU</v>
      </c>
      <c r="B41" s="116">
        <f>+B21*(1-B12)</f>
        <v>2778.6500000000005</v>
      </c>
    </row>
    <row r="42" spans="1:2" ht="12.75">
      <c r="A42" s="79" t="str">
        <f>'NORTH FORK'!A23</f>
        <v>SW CBCU - Irrigation - Non Federal Canals</v>
      </c>
      <c r="B42" s="138">
        <f>B22*CanalCUPercent</f>
        <v>0</v>
      </c>
    </row>
    <row r="43" spans="1:2" ht="12.75">
      <c r="A43" s="79" t="str">
        <f>'NORTH FORK'!A24</f>
        <v>SW CBCU - Irrigation - Small Pumps</v>
      </c>
      <c r="B43" s="138">
        <f>B23*PumperCUPercent</f>
        <v>60.824999999999996</v>
      </c>
    </row>
    <row r="44" spans="1:2" ht="12.75">
      <c r="A44" s="79" t="str">
        <f>'NORTH FORK'!A25</f>
        <v>SW CBCU - M&amp;I</v>
      </c>
      <c r="B44" s="116">
        <f>B24*MI_CUPercent</f>
        <v>0</v>
      </c>
    </row>
    <row r="45" spans="1:2" ht="12.75">
      <c r="A45" s="17" t="str">
        <f>A16</f>
        <v>Enders Reservoir Evaporation</v>
      </c>
      <c r="B45" s="79">
        <f>+B16</f>
        <v>1448.3</v>
      </c>
    </row>
    <row r="46" spans="1:2" ht="12.75">
      <c r="A46" s="116" t="str">
        <f>'NORTH FORK'!A26</f>
        <v>Non-Federal Reservoir Evaporation</v>
      </c>
      <c r="B46" s="17">
        <f>B25</f>
        <v>0</v>
      </c>
    </row>
    <row r="47" spans="1:3" ht="12.75">
      <c r="A47" s="116" t="str">
        <f>'NORTH FORK'!A27</f>
        <v>SW CBCU</v>
      </c>
      <c r="B47" s="138">
        <f>SUM(B38:B44)+SUM(B45:B46)</f>
        <v>8935.237000000001</v>
      </c>
      <c r="C47" s="76"/>
    </row>
    <row r="48" spans="1:2" ht="12.75">
      <c r="A48" s="116" t="str">
        <f>'NORTH FORK'!A28</f>
        <v>GW CBCU</v>
      </c>
      <c r="B48" s="17">
        <f>+B8</f>
        <v>82283</v>
      </c>
    </row>
    <row r="49" spans="1:2" ht="12.75">
      <c r="A49" s="116" t="str">
        <f>'NORTH FORK'!A29</f>
        <v>Total CBCU</v>
      </c>
      <c r="B49" s="79">
        <f>(ROUND(SUM(B47:B48),-1))</f>
        <v>91220</v>
      </c>
    </row>
    <row r="50" spans="1:2" ht="12.75">
      <c r="A50" s="116" t="s">
        <v>83</v>
      </c>
      <c r="B50" s="17"/>
    </row>
    <row r="51" spans="1:2" ht="12.75">
      <c r="A51" s="5" t="s">
        <v>184</v>
      </c>
      <c r="B51" s="17"/>
    </row>
    <row r="52" spans="1:2" ht="12.75">
      <c r="A52" s="116" t="str">
        <f>'NORTH FORK'!A42</f>
        <v>Total SW CBCU</v>
      </c>
      <c r="B52" s="79">
        <f>B47</f>
        <v>8935.237000000001</v>
      </c>
    </row>
    <row r="53" spans="1:2" ht="12.75">
      <c r="A53" s="116" t="str">
        <f>'NORTH FORK'!A43</f>
        <v>Total GW CBCU</v>
      </c>
      <c r="B53" s="79">
        <f>+B30+B34+B48</f>
        <v>82852</v>
      </c>
    </row>
    <row r="54" spans="1:2" ht="12.75">
      <c r="A54" s="116" t="str">
        <f>'NORTH FORK'!A44</f>
        <v>Total Basin CBCU</v>
      </c>
      <c r="B54" s="79">
        <f>(ROUND(SUM(B52:B53),-1))</f>
        <v>91790</v>
      </c>
    </row>
    <row r="55" spans="1:2" ht="12.75">
      <c r="A55" s="116" t="s">
        <v>83</v>
      </c>
      <c r="B55" s="17"/>
    </row>
    <row r="56" spans="1:2" ht="15.75">
      <c r="A56" s="11" t="s">
        <v>10</v>
      </c>
      <c r="B56" s="17"/>
    </row>
    <row r="57" spans="1:2" ht="12.75">
      <c r="A57" s="17" t="str">
        <f>A15</f>
        <v>Frenchman Creek At Culbertson</v>
      </c>
      <c r="B57" s="79">
        <f>B15</f>
        <v>20877.69</v>
      </c>
    </row>
    <row r="58" spans="1:3" ht="12.75">
      <c r="A58" s="17" t="s">
        <v>501</v>
      </c>
      <c r="B58" s="79">
        <f>0.17*(B20*B11)</f>
        <v>704.0954599999999</v>
      </c>
      <c r="C58" s="76"/>
    </row>
    <row r="59" spans="1:3" ht="12.75">
      <c r="A59" s="17" t="s">
        <v>502</v>
      </c>
      <c r="B59" s="79">
        <f>B21*B12</f>
        <v>4319.349999999999</v>
      </c>
      <c r="C59" s="76"/>
    </row>
    <row r="60" spans="1:2" ht="12.75">
      <c r="A60" s="17" t="str">
        <f>'NORTH FORK'!A49</f>
        <v>Colorado CBCU</v>
      </c>
      <c r="B60" s="79">
        <f>+B31</f>
        <v>570</v>
      </c>
    </row>
    <row r="61" spans="1:2" ht="12.75">
      <c r="A61" s="17" t="str">
        <f>'NORTH FORK'!A50</f>
        <v>Kansas CBCU</v>
      </c>
      <c r="B61" s="79">
        <f>+B35</f>
        <v>0</v>
      </c>
    </row>
    <row r="62" spans="1:2" ht="12.75">
      <c r="A62" s="17" t="str">
        <f>'NORTH FORK'!A51</f>
        <v>Nebraska CBCU</v>
      </c>
      <c r="B62" s="79">
        <f>+B49</f>
        <v>91220</v>
      </c>
    </row>
    <row r="63" spans="1:2" ht="12.75">
      <c r="A63" s="17" t="str">
        <f>A17</f>
        <v>Enders Reservoir Change In Storage</v>
      </c>
      <c r="B63" s="17">
        <f>+B17</f>
        <v>-1200</v>
      </c>
    </row>
    <row r="64" spans="1:3" ht="12.75">
      <c r="A64" s="17" t="str">
        <f>'NORTH FORK'!A52</f>
        <v>Imported Water</v>
      </c>
      <c r="B64" s="17">
        <f>B5</f>
        <v>0</v>
      </c>
      <c r="C64" s="76"/>
    </row>
    <row r="65" spans="1:2" ht="12.75">
      <c r="A65" s="17" t="str">
        <f>'NORTH FORK'!A53</f>
        <v>Virgin Water Supply</v>
      </c>
      <c r="B65" s="79">
        <f>ROUND(SUM(B57:B63)-B64,-1)</f>
        <v>116490</v>
      </c>
    </row>
    <row r="66" spans="1:2" ht="12.75">
      <c r="A66" s="17" t="str">
        <f>'NORTH FORK'!A54</f>
        <v>Adjustment For Flood Flows</v>
      </c>
      <c r="B66" s="17">
        <f>B26</f>
        <v>0</v>
      </c>
    </row>
    <row r="67" spans="1:2" ht="12.75">
      <c r="A67" s="17" t="str">
        <f>'NORTH FORK'!A55</f>
        <v>Computed Water Supply</v>
      </c>
      <c r="B67" s="79">
        <f>ROUND(+B65-B66-B63,-1)</f>
        <v>117690</v>
      </c>
    </row>
    <row r="68" spans="1:2" ht="12.75">
      <c r="A68" s="116" t="s">
        <v>83</v>
      </c>
      <c r="B68" s="17"/>
    </row>
    <row r="69" spans="1:2" ht="15.75">
      <c r="A69" s="11" t="s">
        <v>12</v>
      </c>
      <c r="B69" s="13"/>
    </row>
    <row r="70" spans="1:2" ht="12.75">
      <c r="A70" s="17" t="str">
        <f>'NORTH FORK'!A58</f>
        <v>Colorado Percent Of Allocation</v>
      </c>
      <c r="B70" s="141">
        <f>'T2'!D8</f>
        <v>0</v>
      </c>
    </row>
    <row r="71" spans="1:2" ht="12.75">
      <c r="A71" s="17" t="str">
        <f>'NORTH FORK'!A59</f>
        <v>Colorado Allocation</v>
      </c>
      <c r="B71" s="79">
        <f>ROUND(+B67*B70,-1)</f>
        <v>0</v>
      </c>
    </row>
    <row r="72" spans="1:2" ht="12.75">
      <c r="A72" s="17" t="str">
        <f>'NORTH FORK'!A60</f>
        <v>Kansas Percent Of Allocation</v>
      </c>
      <c r="B72" s="141">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63080</v>
      </c>
    </row>
    <row r="76" spans="1:2" ht="12.75">
      <c r="A76" s="2" t="str">
        <f>'NORTH FORK'!A64</f>
        <v>Total Basin Allocation</v>
      </c>
      <c r="B76" s="4">
        <f>+B71+B73+B75</f>
        <v>63080</v>
      </c>
    </row>
    <row r="77" spans="1:2" ht="12.75">
      <c r="A77" s="2" t="str">
        <f>'NORTH FORK'!A65</f>
        <v>Percent Of Supply Not Allocated</v>
      </c>
      <c r="B77" s="16">
        <f>'T2'!J8</f>
        <v>0.464</v>
      </c>
    </row>
    <row r="78" spans="1:2" ht="12.75">
      <c r="A78" s="2" t="str">
        <f>'NORTH FORK'!A66</f>
        <v>Quantity Of Unallocated Supply</v>
      </c>
      <c r="B78" s="4">
        <f>+B67-B71-B73-B75</f>
        <v>54610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2001</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1221</v>
      </c>
    </row>
    <row r="9" spans="1:2" ht="12.75">
      <c r="A9" s="2" t="s">
        <v>83</v>
      </c>
      <c r="B9" s="2"/>
    </row>
    <row r="10" spans="1:2" ht="12.75">
      <c r="A10" s="5" t="s">
        <v>215</v>
      </c>
      <c r="B10" s="2"/>
    </row>
    <row r="11" spans="1:2" ht="12.75">
      <c r="A11" s="60" t="str">
        <f>+INPUT!B243</f>
        <v>Meeker-Driftwood Canal % Return Flow</v>
      </c>
      <c r="B11" s="60">
        <f>+INPUT!C243</f>
        <v>0.4869923664122137</v>
      </c>
    </row>
    <row r="12" spans="1:2" ht="12.75">
      <c r="A12" s="2" t="s">
        <v>83</v>
      </c>
      <c r="B12" s="2"/>
    </row>
    <row r="13" spans="1:2" ht="12.75">
      <c r="A13" s="5" t="s">
        <v>182</v>
      </c>
      <c r="B13" s="2"/>
    </row>
    <row r="14" spans="1:2" ht="12.75">
      <c r="A14" s="55" t="str">
        <f>+INPUT!B189</f>
        <v>Driftwood Creek Near McCook</v>
      </c>
      <c r="B14" s="55">
        <f>+INPUT!C189</f>
        <v>2589.04</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17816</v>
      </c>
    </row>
    <row r="19" spans="1:2" ht="12.75">
      <c r="A19" s="122" t="str">
        <f>+INPUT!B98</f>
        <v>SW Diversions - Irrigation - Non-Federal Canals - Nebraska</v>
      </c>
      <c r="B19" s="122">
        <f>+INPUT!C98</f>
        <v>0</v>
      </c>
    </row>
    <row r="20" spans="1:2" ht="12.75">
      <c r="A20" s="122" t="str">
        <f>+INPUT!B99</f>
        <v>SW Diversions - Irrigation - Small Pumps - Nebraska</v>
      </c>
      <c r="B20" s="122">
        <f>+INPUT!C99</f>
        <v>0</v>
      </c>
    </row>
    <row r="21" spans="1:2" ht="12.75">
      <c r="A21" s="122" t="str">
        <f>+INPUT!B100</f>
        <v>SW Diversions - M&amp;I - Nebraska</v>
      </c>
      <c r="B21" s="122">
        <f>+INPUT!C100</f>
        <v>0</v>
      </c>
    </row>
    <row r="22" spans="1:2" ht="12.75">
      <c r="A22" s="122" t="str">
        <f>+INPUT!B165</f>
        <v>Non-Federal Reservoir Evaporation - Kansas</v>
      </c>
      <c r="B22" s="122">
        <f>+INPUT!C165</f>
        <v>0</v>
      </c>
    </row>
    <row r="23" spans="1:2" ht="12.75">
      <c r="A23" s="122" t="str">
        <f>+INPUT!B166</f>
        <v>Non-Federal Reservoir Evaporation - Nebraska</v>
      </c>
      <c r="B23" s="122">
        <f>+INPUT!C166</f>
        <v>0</v>
      </c>
    </row>
    <row r="24" spans="1:2" ht="12.75">
      <c r="A24" s="122" t="str">
        <f>+INPUT!B206</f>
        <v>Driftwood Flood Flow</v>
      </c>
      <c r="B24" s="122">
        <f>+INPUT!C206</f>
        <v>0</v>
      </c>
    </row>
    <row r="25" spans="1:2" ht="12.75">
      <c r="A25" s="137"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9">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6" t="str">
        <f>'NORTH FORK'!A26</f>
        <v>Non-Federal Reservoir Evaporation</v>
      </c>
      <c r="B35" s="17">
        <f>B22</f>
        <v>0</v>
      </c>
    </row>
    <row r="36" spans="1:3" ht="12.75">
      <c r="A36" s="17" t="str">
        <f>'NORTH FORK'!A27</f>
        <v>SW CBCU</v>
      </c>
      <c r="B36" s="79">
        <f>B32+B33+B34+B35</f>
        <v>0</v>
      </c>
      <c r="C36" s="76"/>
    </row>
    <row r="37" spans="1:2" ht="12.75">
      <c r="A37" s="17" t="str">
        <f>'NORTH FORK'!A28</f>
        <v>GW CBCU</v>
      </c>
      <c r="B37" s="17">
        <f>+B7</f>
        <v>0</v>
      </c>
    </row>
    <row r="38" spans="1:2" ht="12.75">
      <c r="A38" s="17" t="str">
        <f>'NORTH FORK'!A29</f>
        <v>Total CBCU</v>
      </c>
      <c r="B38" s="79">
        <f>(ROUND(SUM(B36:B37),-1))</f>
        <v>0</v>
      </c>
    </row>
    <row r="39" spans="1:2" ht="12.75">
      <c r="A39" s="17" t="s">
        <v>83</v>
      </c>
      <c r="B39" s="17"/>
    </row>
    <row r="40" spans="1:2" ht="12.75">
      <c r="A40" s="8" t="s">
        <v>1</v>
      </c>
      <c r="B40" s="17"/>
    </row>
    <row r="41" spans="1:2" ht="12.75">
      <c r="A41" s="12" t="str">
        <f>'NORTH FORK'!A23</f>
        <v>SW CBCU - Irrigation - Non Federal Canals</v>
      </c>
      <c r="B41" s="79">
        <f>B19*CanalCUPercent</f>
        <v>0</v>
      </c>
    </row>
    <row r="42" spans="1:2" ht="12.75">
      <c r="A42" s="12" t="str">
        <f>'NORTH FORK'!A24</f>
        <v>SW CBCU - Irrigation - Small Pumps</v>
      </c>
      <c r="B42" s="79">
        <f>B20*PumperCUPercent</f>
        <v>0</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9">
        <f>B41+B42+B43+B44</f>
        <v>0</v>
      </c>
      <c r="C45" s="76"/>
    </row>
    <row r="46" spans="1:2" ht="12.75">
      <c r="A46" s="17" t="str">
        <f>'NORTH FORK'!A28</f>
        <v>GW CBCU</v>
      </c>
      <c r="B46" s="17">
        <f>+B8</f>
        <v>1221</v>
      </c>
    </row>
    <row r="47" spans="1:2" ht="12.75">
      <c r="A47" s="17" t="str">
        <f>'NORTH FORK'!A29</f>
        <v>Total CBCU</v>
      </c>
      <c r="B47" s="79">
        <f>(ROUND(SUM(B45:B46),-1))</f>
        <v>1220</v>
      </c>
    </row>
    <row r="48" spans="1:2" ht="12.75">
      <c r="A48" s="116" t="s">
        <v>83</v>
      </c>
      <c r="B48" s="17"/>
    </row>
    <row r="49" spans="1:2" ht="12.75">
      <c r="A49" s="5" t="s">
        <v>184</v>
      </c>
      <c r="B49" s="17"/>
    </row>
    <row r="50" spans="1:2" ht="12.75">
      <c r="A50" s="116" t="str">
        <f>'NORTH FORK'!A42</f>
        <v>Total SW CBCU</v>
      </c>
      <c r="B50" s="79">
        <f>+B36+B45</f>
        <v>0</v>
      </c>
    </row>
    <row r="51" spans="1:2" ht="12.75">
      <c r="A51" s="116" t="str">
        <f>'NORTH FORK'!A43</f>
        <v>Total GW CBCU</v>
      </c>
      <c r="B51" s="79">
        <f>+B28+B37+B46</f>
        <v>1221</v>
      </c>
    </row>
    <row r="52" spans="1:2" ht="12.75">
      <c r="A52" s="116" t="str">
        <f>'NORTH FORK'!A44</f>
        <v>Total Basin CBCU</v>
      </c>
      <c r="B52" s="79">
        <f>(ROUND(SUM(B50:B51),-1))</f>
        <v>1220</v>
      </c>
    </row>
    <row r="53" spans="1:2" ht="12.75">
      <c r="A53" s="116" t="s">
        <v>83</v>
      </c>
      <c r="B53" s="17"/>
    </row>
    <row r="54" spans="1:2" ht="15.75">
      <c r="A54" s="11" t="s">
        <v>10</v>
      </c>
      <c r="B54" s="17"/>
    </row>
    <row r="55" spans="1:2" ht="12.75">
      <c r="A55" s="79" t="str">
        <f>A14</f>
        <v>Driftwood Creek Near McCook</v>
      </c>
      <c r="B55" s="79">
        <f>B14</f>
        <v>2589.04</v>
      </c>
    </row>
    <row r="56" spans="1:2" ht="12.75">
      <c r="A56" s="17" t="s">
        <v>230</v>
      </c>
      <c r="B56" s="79">
        <f>0.24*B18*B11</f>
        <v>2082.30144</v>
      </c>
    </row>
    <row r="57" spans="1:2" ht="12.75">
      <c r="A57" s="17" t="str">
        <f>'NORTH FORK'!A49</f>
        <v>Colorado CBCU</v>
      </c>
      <c r="B57" s="79">
        <f>+B29</f>
        <v>0</v>
      </c>
    </row>
    <row r="58" spans="1:2" ht="12.75">
      <c r="A58" s="17" t="str">
        <f>'NORTH FORK'!A50</f>
        <v>Kansas CBCU</v>
      </c>
      <c r="B58" s="79">
        <f>+B38</f>
        <v>0</v>
      </c>
    </row>
    <row r="59" spans="1:2" ht="12.75">
      <c r="A59" s="17" t="str">
        <f>'NORTH FORK'!A51</f>
        <v>Nebraska CBCU</v>
      </c>
      <c r="B59" s="79">
        <f>+B47</f>
        <v>1220</v>
      </c>
    </row>
    <row r="60" spans="1:3" ht="12.75">
      <c r="A60" s="17" t="str">
        <f>'NORTH FORK'!A52</f>
        <v>Imported Water</v>
      </c>
      <c r="B60" s="17">
        <f>+B5</f>
        <v>0</v>
      </c>
      <c r="C60" s="76"/>
    </row>
    <row r="61" spans="1:2" ht="12.75">
      <c r="A61" s="17" t="str">
        <f>'NORTH FORK'!A53</f>
        <v>Virgin Water Supply</v>
      </c>
      <c r="B61" s="79">
        <f>ROUND(SUM(B55,B57:B59)-B60-B56,-1)</f>
        <v>1730</v>
      </c>
    </row>
    <row r="62" spans="1:2" ht="12.75">
      <c r="A62" s="17" t="str">
        <f>'NORTH FORK'!A54</f>
        <v>Adjustment For Flood Flows</v>
      </c>
      <c r="B62" s="17">
        <f>B24</f>
        <v>0</v>
      </c>
    </row>
    <row r="63" spans="1:2" ht="12.75">
      <c r="A63" s="17" t="str">
        <f>'NORTH FORK'!A55</f>
        <v>Computed Water Supply</v>
      </c>
      <c r="B63" s="79">
        <f>ROUND(+B61-B62,-1)</f>
        <v>1730</v>
      </c>
    </row>
    <row r="64" spans="1:2" ht="12.75">
      <c r="A64" s="116" t="s">
        <v>83</v>
      </c>
      <c r="B64" s="17"/>
    </row>
    <row r="65" spans="1:2" ht="15.75">
      <c r="A65" s="11" t="s">
        <v>12</v>
      </c>
      <c r="B65" s="13"/>
    </row>
    <row r="66" spans="1:2" ht="12.75">
      <c r="A66" s="17" t="str">
        <f>'NORTH FORK'!A58</f>
        <v>Colorado Percent Of Allocation</v>
      </c>
      <c r="B66" s="141">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120</v>
      </c>
    </row>
    <row r="70" spans="1:2" ht="12.75">
      <c r="A70" s="2" t="str">
        <f>'NORTH FORK'!A62</f>
        <v>Nebraska Percent Of Allocation</v>
      </c>
      <c r="B70" s="16">
        <f>'T2'!H9</f>
        <v>0.164</v>
      </c>
    </row>
    <row r="71" spans="1:2" ht="12.75">
      <c r="A71" s="2" t="str">
        <f>'NORTH FORK'!A63</f>
        <v>Nebraska Allocation</v>
      </c>
      <c r="B71" s="4">
        <f>ROUND(B63*B70,-1)</f>
        <v>280</v>
      </c>
    </row>
    <row r="72" spans="1:2" ht="12.75">
      <c r="A72" s="2" t="str">
        <f>'NORTH FORK'!A64</f>
        <v>Total Basin Allocation</v>
      </c>
      <c r="B72" s="4">
        <f>+B67+B69+B71</f>
        <v>400</v>
      </c>
    </row>
    <row r="73" spans="1:2" ht="12.75">
      <c r="A73" s="2" t="str">
        <f>'NORTH FORK'!A65</f>
        <v>Percent Of Supply Not Allocated</v>
      </c>
      <c r="B73" s="16">
        <f>'T2'!J9</f>
        <v>0.767</v>
      </c>
    </row>
    <row r="74" spans="1:2" ht="12.75">
      <c r="A74" s="2" t="str">
        <f>'NORTH FORK'!A66</f>
        <v>Quantity Of Unallocated Supply</v>
      </c>
      <c r="B74" s="4">
        <f>+B63-B67-B69-B71</f>
        <v>1330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